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72" windowWidth="22980" windowHeight="10080" tabRatio="698" activeTab="3"/>
  </bookViews>
  <sheets>
    <sheet name="chitiet" sheetId="19" r:id="rId1"/>
    <sheet name="DG" sheetId="20" r:id="rId2"/>
    <sheet name="INFO" sheetId="1" r:id="rId3"/>
    <sheet name="BKT-ThuHoi" sheetId="10" r:id="rId4"/>
    <sheet name="5.TTG" sheetId="2" r:id="rId5"/>
    <sheet name="6.TiTrg" sheetId="3" r:id="rId6"/>
    <sheet name="7.SAU-THAO-GO" sheetId="4" r:id="rId7"/>
    <sheet name="8.NHAP" sheetId="5" r:id="rId8"/>
    <sheet name="9.NHAP-THUA" sheetId="6" r:id="rId9"/>
    <sheet name="10.QTOAN" sheetId="7" r:id="rId10"/>
    <sheet name="11.QT-VTTH" sheetId="8" r:id="rId11"/>
    <sheet name="QTGT-TCKT" sheetId="9" r:id="rId12"/>
  </sheets>
  <externalReferences>
    <externalReference r:id="rId13"/>
    <externalReference r:id="rId14"/>
    <externalReference r:id="rId15"/>
  </externalReferences>
  <definedNames>
    <definedName name="_Builtin155" hidden="1">#N/A</definedName>
    <definedName name="_Fill" hidden="1">#REF!</definedName>
    <definedName name="_xlnm._FilterDatabase" localSheetId="9" hidden="1">'10.QTOAN'!$B$6:$N$132</definedName>
    <definedName name="_xlnm._FilterDatabase" localSheetId="10" hidden="1">'11.QT-VTTH'!$A$9:$S$31</definedName>
    <definedName name="_xlnm._FilterDatabase" localSheetId="4" hidden="1">'5.TTG'!$B$29:$J$104</definedName>
    <definedName name="_xlnm._FilterDatabase" localSheetId="5" hidden="1">'6.TiTrg'!$B$19:$H$40</definedName>
    <definedName name="_xlnm._FilterDatabase" localSheetId="6" hidden="1">'7.SAU-THAO-GO'!$B$22:$I$43</definedName>
    <definedName name="_xlnm._FilterDatabase" localSheetId="7" hidden="1">'8.NHAP'!$B$10:$I$31</definedName>
    <definedName name="_xlnm._FilterDatabase" localSheetId="8" hidden="1">'9.NHAP-THUA'!$B$12:$F$113</definedName>
    <definedName name="_xlnm._FilterDatabase" localSheetId="3" hidden="1">'BKT-ThuHoi'!$A$5:$AY$183</definedName>
    <definedName name="_xlnm._FilterDatabase" localSheetId="0" hidden="1">chitiet!$A$9:$AC$1771</definedName>
    <definedName name="_xlnm._FilterDatabase" localSheetId="1" hidden="1">DG!$A$1:$H$1490</definedName>
    <definedName name="_xlnm._FilterDatabase" localSheetId="11" hidden="1">'QTGT-TCKT'!$L$7:$L$134</definedName>
    <definedName name="CLVC3">0.1</definedName>
    <definedName name="dgth">chitiet!$A$13:$H$1806</definedName>
    <definedName name="DSPK1pm">chitiet!$B$1356:$G$1449</definedName>
    <definedName name="DSPK3p1m">chitiet!$B$1159:$G$1355</definedName>
    <definedName name="DSPK3pct">chitiet!$B$896:$G$1034</definedName>
    <definedName name="DSPK3pm">chitiet!$B$1035:$G$1157</definedName>
    <definedName name="DSPKhtdl">chitiet!$B$1450:$G$1555</definedName>
    <definedName name="DSPKhthh">chitiet!$B$1556:$G$1588</definedName>
    <definedName name="Heä_soá_laép_xaø_H">1.7</definedName>
    <definedName name="Hinh_thuc">"bangtra"</definedName>
    <definedName name="HSCT3">0.1</definedName>
    <definedName name="hsdc">chitiet!$F$3</definedName>
    <definedName name="HSDN">2.5</definedName>
    <definedName name="hskd">chitiet!$F$4</definedName>
    <definedName name="hslx">chitiet!$F$1</definedName>
    <definedName name="hslxh">chitiet!$F$2</definedName>
    <definedName name="_xlnm.Print_Area" localSheetId="9">'10.QTOAN'!$B$3:$M$141</definedName>
    <definedName name="_xlnm.Print_Area" localSheetId="10">'11.QT-VTTH'!$A$1:$G$41</definedName>
    <definedName name="_xlnm.Print_Area" localSheetId="4">'5.TTG'!$B:$I</definedName>
    <definedName name="_xlnm.Print_Area" localSheetId="5">'6.TiTrg'!$B:$G</definedName>
    <definedName name="_xlnm.Print_Area" localSheetId="6">'7.SAU-THAO-GO'!$B:$H</definedName>
    <definedName name="_xlnm.Print_Area" localSheetId="7">'8.NHAP'!$B$1:$H$39</definedName>
    <definedName name="_xlnm.Print_Area" localSheetId="8">'9.NHAP-THUA'!$B$1:$F$124</definedName>
    <definedName name="_xlnm.Print_Area" localSheetId="0">chitiet!$D:$L</definedName>
    <definedName name="_xlnm.Print_Area" localSheetId="1">DG!$A$1:$D$1153</definedName>
    <definedName name="_xlnm.Print_Area" localSheetId="11">'QTGT-TCKT'!$B$1:$K$142</definedName>
    <definedName name="_xlnm.Print_Titles" localSheetId="9">'10.QTOAN'!$6:$7</definedName>
    <definedName name="_xlnm.Print_Titles" localSheetId="6">'7.SAU-THAO-GO'!$22:$22</definedName>
    <definedName name="_xlnm.Print_Titles" localSheetId="0">chitiet!$9:$10</definedName>
    <definedName name="_xlnm.Print_Titles" localSheetId="11">'QTGT-TCKT'!$7:$8</definedName>
    <definedName name="wrn.chi._.tiÆt." hidden="1">{#N/A,#N/A,FALSE,"Chi tiÆt"}</definedName>
    <definedName name="XCCT">0.5</definedName>
  </definedNames>
  <calcPr calcId="144525"/>
</workbook>
</file>

<file path=xl/calcChain.xml><?xml version="1.0" encoding="utf-8"?>
<calcChain xmlns="http://schemas.openxmlformats.org/spreadsheetml/2006/main">
  <c r="D184" i="10" l="1"/>
  <c r="E184" i="10"/>
  <c r="F184" i="10"/>
  <c r="G184" i="10"/>
  <c r="H184" i="10"/>
  <c r="I184" i="10"/>
  <c r="J184" i="10"/>
  <c r="K184" i="10"/>
  <c r="L184" i="10"/>
  <c r="M184" i="10"/>
  <c r="N184" i="10"/>
  <c r="O184" i="10"/>
  <c r="P184" i="10"/>
  <c r="Q184" i="10"/>
  <c r="R184" i="10"/>
  <c r="S184" i="10"/>
  <c r="T184" i="10"/>
  <c r="U184" i="10"/>
  <c r="V184" i="10"/>
  <c r="W184" i="10"/>
  <c r="X184" i="10"/>
  <c r="Y184" i="10"/>
  <c r="Z184" i="10"/>
  <c r="AA184" i="10"/>
  <c r="AB184" i="10"/>
  <c r="AC184" i="10"/>
  <c r="AD184" i="10"/>
  <c r="AE184" i="10"/>
  <c r="AF184" i="10"/>
  <c r="AG184" i="10"/>
  <c r="AH184" i="10"/>
  <c r="AI184" i="10"/>
  <c r="AJ184" i="10"/>
  <c r="AK184" i="10"/>
  <c r="AL184" i="10"/>
  <c r="AM184" i="10"/>
  <c r="AN184" i="10"/>
  <c r="AO184" i="10"/>
  <c r="AP184" i="10"/>
  <c r="AQ184" i="10"/>
  <c r="AR184" i="10"/>
  <c r="AS184" i="10"/>
  <c r="AT184" i="10"/>
  <c r="AU184" i="10"/>
  <c r="AV184" i="10"/>
  <c r="AW184" i="10"/>
  <c r="AX184" i="10"/>
  <c r="AY184" i="10"/>
  <c r="C184" i="10"/>
  <c r="E370" i="19" l="1"/>
  <c r="E1490" i="20" l="1"/>
  <c r="E1488" i="20"/>
  <c r="Y2" i="1"/>
  <c r="Z2" i="1" s="1"/>
  <c r="X2" i="1"/>
  <c r="V2" i="1"/>
  <c r="G1080" i="19" l="1"/>
  <c r="H1080" i="19" s="1"/>
  <c r="I1080" i="19" s="1"/>
  <c r="C1080" i="19" s="1"/>
  <c r="F1080" i="19"/>
  <c r="E1080" i="19"/>
  <c r="G1079" i="19"/>
  <c r="H1079" i="19" s="1"/>
  <c r="I1079" i="19" s="1"/>
  <c r="C1079" i="19" s="1"/>
  <c r="F1079" i="19"/>
  <c r="E1079" i="19"/>
  <c r="H1078" i="19"/>
  <c r="I1078" i="19" s="1"/>
  <c r="C1078" i="19" s="1"/>
  <c r="E364" i="20"/>
  <c r="H1752" i="19"/>
  <c r="H1738" i="19"/>
  <c r="H1724" i="19"/>
  <c r="H1723" i="19"/>
  <c r="H1718" i="19"/>
  <c r="H1714" i="19"/>
  <c r="H1689" i="19"/>
  <c r="H1667" i="19"/>
  <c r="H1656" i="19"/>
  <c r="H1645" i="19"/>
  <c r="H1637" i="19"/>
  <c r="H1589" i="19"/>
  <c r="H1556" i="19"/>
  <c r="H1509" i="19"/>
  <c r="H1508" i="19"/>
  <c r="H1507" i="19"/>
  <c r="H1506" i="19"/>
  <c r="H1505" i="19"/>
  <c r="H1504" i="19"/>
  <c r="H1503" i="19"/>
  <c r="H1502" i="19"/>
  <c r="H1501" i="19"/>
  <c r="H1500" i="19"/>
  <c r="H1482" i="19"/>
  <c r="H1457" i="19"/>
  <c r="H1450" i="19"/>
  <c r="H1399" i="19"/>
  <c r="H1393" i="19"/>
  <c r="H1389" i="19"/>
  <c r="H1383" i="19"/>
  <c r="H1379" i="19"/>
  <c r="H1375" i="19"/>
  <c r="H1372" i="19"/>
  <c r="H1367" i="19"/>
  <c r="H1363" i="19"/>
  <c r="H1360" i="19"/>
  <c r="H1356" i="19"/>
  <c r="H1239" i="19"/>
  <c r="H1236" i="19"/>
  <c r="H1229" i="19"/>
  <c r="H1223" i="19"/>
  <c r="H1220" i="19"/>
  <c r="H1214" i="19"/>
  <c r="H1210" i="19"/>
  <c r="H1206" i="19"/>
  <c r="H1203" i="19"/>
  <c r="H1199" i="19"/>
  <c r="H1195" i="19"/>
  <c r="H1191" i="19"/>
  <c r="H1187" i="19"/>
  <c r="H1184" i="19"/>
  <c r="H1181" i="19"/>
  <c r="H1178" i="19"/>
  <c r="H1158" i="19"/>
  <c r="H1084" i="19"/>
  <c r="H1081" i="19"/>
  <c r="H1072" i="19"/>
  <c r="H1068" i="19"/>
  <c r="H1064" i="19"/>
  <c r="H1061" i="19"/>
  <c r="H1056" i="19"/>
  <c r="H1052" i="19"/>
  <c r="H1049" i="19"/>
  <c r="H1035" i="19"/>
  <c r="H956" i="19"/>
  <c r="H950" i="19"/>
  <c r="H945" i="19"/>
  <c r="H939" i="19"/>
  <c r="H941" i="19" s="1"/>
  <c r="H935" i="19"/>
  <c r="H931" i="19"/>
  <c r="H928" i="19"/>
  <c r="H924" i="19"/>
  <c r="H919" i="19"/>
  <c r="H915" i="19"/>
  <c r="H911" i="19"/>
  <c r="H896" i="19"/>
  <c r="H895" i="19"/>
  <c r="H886" i="19"/>
  <c r="H877" i="19"/>
  <c r="H868" i="19"/>
  <c r="H859" i="19"/>
  <c r="H850" i="19"/>
  <c r="H841" i="19"/>
  <c r="H832" i="19"/>
  <c r="H823" i="19"/>
  <c r="H815" i="19"/>
  <c r="H807" i="19"/>
  <c r="H795" i="19"/>
  <c r="H783" i="19"/>
  <c r="H770" i="19"/>
  <c r="H756" i="19"/>
  <c r="H740" i="19"/>
  <c r="H727" i="19"/>
  <c r="H713" i="19"/>
  <c r="H698" i="19"/>
  <c r="H685" i="19"/>
  <c r="H671" i="19"/>
  <c r="H656" i="19"/>
  <c r="H643" i="19"/>
  <c r="H635" i="19"/>
  <c r="H627" i="19"/>
  <c r="H618" i="19"/>
  <c r="H607" i="19"/>
  <c r="H598" i="19"/>
  <c r="H589" i="19"/>
  <c r="H578" i="19"/>
  <c r="H574" i="19"/>
  <c r="H565" i="19"/>
  <c r="H562" i="19"/>
  <c r="H553" i="19"/>
  <c r="H542" i="19"/>
  <c r="H533" i="19"/>
  <c r="H522" i="19"/>
  <c r="H518" i="19"/>
  <c r="H509" i="19"/>
  <c r="H502" i="19"/>
  <c r="H495" i="19"/>
  <c r="H487" i="19"/>
  <c r="H477" i="19"/>
  <c r="H467" i="19"/>
  <c r="H457" i="19"/>
  <c r="H448" i="19"/>
  <c r="H438" i="19"/>
  <c r="H428" i="19"/>
  <c r="H418" i="19"/>
  <c r="H410" i="19"/>
  <c r="H403" i="19"/>
  <c r="H395" i="19"/>
  <c r="H388" i="19"/>
  <c r="H377" i="19"/>
  <c r="H368" i="19"/>
  <c r="H357" i="19"/>
  <c r="H347" i="19"/>
  <c r="H337" i="19"/>
  <c r="H328" i="19"/>
  <c r="H323" i="19"/>
  <c r="H313" i="19"/>
  <c r="H304" i="19"/>
  <c r="H293" i="19"/>
  <c r="H282" i="19"/>
  <c r="H277" i="19"/>
  <c r="H268" i="19"/>
  <c r="H257" i="19"/>
  <c r="H246" i="19"/>
  <c r="H237" i="19"/>
  <c r="H226" i="19"/>
  <c r="H216" i="19"/>
  <c r="H206" i="19"/>
  <c r="H205" i="19"/>
  <c r="H198" i="19"/>
  <c r="H191" i="19"/>
  <c r="H187" i="19"/>
  <c r="H180" i="19"/>
  <c r="H173" i="19"/>
  <c r="H171" i="19"/>
  <c r="H164" i="19"/>
  <c r="H158" i="19"/>
  <c r="H154" i="19"/>
  <c r="H147" i="19"/>
  <c r="H140" i="19"/>
  <c r="H133" i="19"/>
  <c r="H132" i="19"/>
  <c r="H117" i="19"/>
  <c r="H108" i="19"/>
  <c r="H100" i="19"/>
  <c r="H90" i="19"/>
  <c r="H80" i="19"/>
  <c r="H69" i="19"/>
  <c r="H59" i="19"/>
  <c r="H49" i="19"/>
  <c r="H41" i="19"/>
  <c r="H31" i="19"/>
  <c r="H21" i="19"/>
  <c r="H13" i="19"/>
  <c r="F912" i="19"/>
  <c r="E912" i="19"/>
  <c r="H208" i="19" l="1"/>
  <c r="I208" i="19" s="1"/>
  <c r="H209" i="19"/>
  <c r="I209" i="19" s="1"/>
  <c r="H210" i="19"/>
  <c r="I210" i="19" s="1"/>
  <c r="H207" i="19"/>
  <c r="I207" i="19" s="1"/>
  <c r="H211" i="19"/>
  <c r="I211" i="19" s="1"/>
  <c r="H212" i="19"/>
  <c r="I212" i="19" s="1"/>
  <c r="H221" i="19"/>
  <c r="H222" i="19"/>
  <c r="H217" i="19"/>
  <c r="H219" i="19"/>
  <c r="H218" i="19"/>
  <c r="H220" i="19"/>
  <c r="H940" i="19"/>
  <c r="H943" i="19"/>
  <c r="H942" i="19"/>
  <c r="E1253" i="20"/>
  <c r="E1252" i="20"/>
  <c r="E1251" i="20"/>
  <c r="E1250" i="20"/>
  <c r="E1249" i="20"/>
  <c r="E1248" i="20"/>
  <c r="E1247" i="20"/>
  <c r="E1246" i="20"/>
  <c r="E1245" i="20"/>
  <c r="E1244" i="20"/>
  <c r="E1243" i="20"/>
  <c r="E1242" i="20"/>
  <c r="E1241" i="20"/>
  <c r="E1240" i="20"/>
  <c r="E1239" i="20"/>
  <c r="E1238" i="20"/>
  <c r="E1237" i="20"/>
  <c r="E1236" i="20"/>
  <c r="E1235" i="20"/>
  <c r="E1234" i="20"/>
  <c r="E1233" i="20"/>
  <c r="E1232" i="20"/>
  <c r="E1231" i="20"/>
  <c r="E1230" i="20"/>
  <c r="E1229" i="20"/>
  <c r="E1228" i="20"/>
  <c r="E1227" i="20"/>
  <c r="E1226" i="20"/>
  <c r="E1225" i="20"/>
  <c r="E1224" i="20"/>
  <c r="E1223" i="20"/>
  <c r="E1222" i="20"/>
  <c r="E1221" i="20"/>
  <c r="E1220" i="20"/>
  <c r="E1219" i="20"/>
  <c r="E1218" i="20"/>
  <c r="E1217" i="20"/>
  <c r="E1216" i="20"/>
  <c r="E1215" i="20"/>
  <c r="E1214" i="20"/>
  <c r="E1213" i="20"/>
  <c r="E1212" i="20"/>
  <c r="E1211" i="20"/>
  <c r="E1210" i="20"/>
  <c r="E1209" i="20"/>
  <c r="E1208" i="20"/>
  <c r="E1207" i="20"/>
  <c r="E1206" i="20"/>
  <c r="E1205" i="20"/>
  <c r="E1204" i="20"/>
  <c r="E1203" i="20"/>
  <c r="E1202" i="20"/>
  <c r="E1201" i="20"/>
  <c r="E1200" i="20"/>
  <c r="E1199" i="20"/>
  <c r="E1198" i="20"/>
  <c r="E1197" i="20"/>
  <c r="E1196" i="20"/>
  <c r="E1195" i="20"/>
  <c r="E1194" i="20"/>
  <c r="E1193" i="20"/>
  <c r="E1192" i="20"/>
  <c r="E1191" i="20"/>
  <c r="E1190" i="20"/>
  <c r="E1189" i="20"/>
  <c r="E1188" i="20"/>
  <c r="E1187" i="20"/>
  <c r="E1186" i="20"/>
  <c r="E1185" i="20"/>
  <c r="E1184" i="20"/>
  <c r="E1183" i="20"/>
  <c r="E1182" i="20"/>
  <c r="E1181" i="20"/>
  <c r="E1180" i="20"/>
  <c r="E1179" i="20"/>
  <c r="E1178" i="20"/>
  <c r="E1177" i="20"/>
  <c r="E1176" i="20"/>
  <c r="E1175" i="20"/>
  <c r="E1174" i="20"/>
  <c r="E1173" i="20"/>
  <c r="E1172" i="20"/>
  <c r="E1171" i="20"/>
  <c r="E1170" i="20"/>
  <c r="E1169" i="20"/>
  <c r="E1168" i="20"/>
  <c r="E1167" i="20"/>
  <c r="E1166" i="20"/>
  <c r="E1165" i="20"/>
  <c r="E1164" i="20"/>
  <c r="E1163" i="20"/>
  <c r="E1162" i="20"/>
  <c r="E1161" i="20"/>
  <c r="E1160" i="20"/>
  <c r="E1159" i="20"/>
  <c r="E1158" i="20"/>
  <c r="E1157" i="20"/>
  <c r="E1156" i="20"/>
  <c r="E1155" i="20"/>
  <c r="E1154" i="20"/>
  <c r="E1153" i="20"/>
  <c r="E1152" i="20"/>
  <c r="E1151" i="20"/>
  <c r="E1150" i="20"/>
  <c r="E1149" i="20"/>
  <c r="E1148" i="20"/>
  <c r="E1147" i="20"/>
  <c r="E1146" i="20"/>
  <c r="E1145" i="20"/>
  <c r="E1144" i="20"/>
  <c r="E1143" i="20"/>
  <c r="E1142" i="20"/>
  <c r="E1141" i="20"/>
  <c r="E1140" i="20"/>
  <c r="E1139" i="20"/>
  <c r="E1138" i="20"/>
  <c r="E1137" i="20"/>
  <c r="E1136" i="20"/>
  <c r="E1135" i="20"/>
  <c r="E1134" i="20"/>
  <c r="E1133" i="20"/>
  <c r="E1132" i="20"/>
  <c r="E1131" i="20"/>
  <c r="E1130" i="20"/>
  <c r="E1129" i="20"/>
  <c r="E1128" i="20"/>
  <c r="E1127" i="20"/>
  <c r="E1126" i="20"/>
  <c r="E1125" i="20"/>
  <c r="E1124" i="20"/>
  <c r="E1123" i="20"/>
  <c r="E1122" i="20"/>
  <c r="E1121" i="20"/>
  <c r="E1120" i="20"/>
  <c r="E1119" i="20"/>
  <c r="E1118" i="20"/>
  <c r="E1117" i="20"/>
  <c r="E1116" i="20"/>
  <c r="E1115" i="20"/>
  <c r="E1114" i="20"/>
  <c r="E1113" i="20"/>
  <c r="E1112" i="20"/>
  <c r="E1111" i="20"/>
  <c r="E1110" i="20"/>
  <c r="E1109" i="20"/>
  <c r="E1108" i="20"/>
  <c r="E1107" i="20"/>
  <c r="E1106" i="20"/>
  <c r="E1105" i="20"/>
  <c r="E1104" i="20"/>
  <c r="E1103" i="20"/>
  <c r="E1102" i="20"/>
  <c r="E1101" i="20"/>
  <c r="E1100" i="20"/>
  <c r="E1099" i="20"/>
  <c r="E1098" i="20"/>
  <c r="E1097" i="20"/>
  <c r="E1096" i="20"/>
  <c r="E1095" i="20"/>
  <c r="E1094" i="20"/>
  <c r="E1093" i="20"/>
  <c r="E1092" i="20"/>
  <c r="E1091" i="20"/>
  <c r="E1090" i="20"/>
  <c r="E1089" i="20"/>
  <c r="E1088" i="20"/>
  <c r="E1087" i="20"/>
  <c r="E1086" i="20"/>
  <c r="E1085" i="20"/>
  <c r="E1084" i="20"/>
  <c r="E1083" i="20"/>
  <c r="E1082" i="20"/>
  <c r="E1081" i="20"/>
  <c r="E1080" i="20"/>
  <c r="E1079" i="20"/>
  <c r="E1078" i="20"/>
  <c r="E1077" i="20"/>
  <c r="E1076" i="20"/>
  <c r="E1075" i="20"/>
  <c r="E1074" i="20"/>
  <c r="E1073" i="20"/>
  <c r="E1072" i="20"/>
  <c r="E1071" i="20"/>
  <c r="E1070" i="20"/>
  <c r="E1069" i="20"/>
  <c r="E1068" i="20"/>
  <c r="E1067" i="20"/>
  <c r="E1066" i="20"/>
  <c r="E1065" i="20"/>
  <c r="E1064" i="20"/>
  <c r="E1063" i="20"/>
  <c r="E1062" i="20"/>
  <c r="E1061" i="20"/>
  <c r="E1060" i="20"/>
  <c r="E1059" i="20"/>
  <c r="E1058" i="20"/>
  <c r="E1057" i="20"/>
  <c r="E1056" i="20"/>
  <c r="E1055" i="20"/>
  <c r="E1054" i="20"/>
  <c r="E1053" i="20"/>
  <c r="E1052" i="20"/>
  <c r="E1051" i="20"/>
  <c r="E1050" i="20"/>
  <c r="E1049" i="20"/>
  <c r="E1048" i="20"/>
  <c r="E1047" i="20"/>
  <c r="E1046" i="20"/>
  <c r="E1045" i="20"/>
  <c r="E1044" i="20"/>
  <c r="E1043" i="20"/>
  <c r="E1042" i="20"/>
  <c r="E1041" i="20"/>
  <c r="E1040" i="20"/>
  <c r="E1039" i="20"/>
  <c r="E1038" i="20"/>
  <c r="E1037" i="20"/>
  <c r="E1036" i="20"/>
  <c r="E1035" i="20"/>
  <c r="E1034" i="20"/>
  <c r="E1033" i="20"/>
  <c r="E1032" i="20"/>
  <c r="E1031" i="20"/>
  <c r="E1030" i="20"/>
  <c r="E1029" i="20"/>
  <c r="E1028" i="20"/>
  <c r="E1027" i="20"/>
  <c r="E1026" i="20"/>
  <c r="E1025" i="20"/>
  <c r="E1024" i="20"/>
  <c r="E1023" i="20"/>
  <c r="E1022" i="20"/>
  <c r="E1021" i="20"/>
  <c r="E1020" i="20"/>
  <c r="E1019" i="20"/>
  <c r="E1018" i="20"/>
  <c r="E1017" i="20"/>
  <c r="E1016" i="20"/>
  <c r="E1015" i="20"/>
  <c r="E1014" i="20"/>
  <c r="E1013" i="20"/>
  <c r="E1012" i="20"/>
  <c r="E1011" i="20"/>
  <c r="E1010" i="20"/>
  <c r="E1009" i="20"/>
  <c r="E1008" i="20"/>
  <c r="E1007" i="20"/>
  <c r="E1006" i="20"/>
  <c r="E1005" i="20"/>
  <c r="E1004" i="20"/>
  <c r="E1003" i="20"/>
  <c r="E1002" i="20"/>
  <c r="E1001" i="20"/>
  <c r="E1000" i="20"/>
  <c r="E999" i="20"/>
  <c r="E998" i="20"/>
  <c r="E997" i="20"/>
  <c r="E996" i="20"/>
  <c r="E995" i="20"/>
  <c r="E994" i="20"/>
  <c r="E993" i="20"/>
  <c r="E992" i="20"/>
  <c r="E991" i="20"/>
  <c r="E990" i="20"/>
  <c r="E989" i="20"/>
  <c r="E988" i="20"/>
  <c r="E987" i="20"/>
  <c r="E986" i="20"/>
  <c r="E985" i="20"/>
  <c r="E984" i="20"/>
  <c r="E983" i="20"/>
  <c r="E982" i="20"/>
  <c r="E981" i="20"/>
  <c r="E980" i="20"/>
  <c r="E979" i="20"/>
  <c r="E978" i="20"/>
  <c r="E977" i="20"/>
  <c r="E976" i="20"/>
  <c r="E975" i="20"/>
  <c r="E974" i="20"/>
  <c r="E973" i="20"/>
  <c r="E972" i="20"/>
  <c r="E971" i="20"/>
  <c r="E970" i="20"/>
  <c r="E969" i="20"/>
  <c r="E968" i="20"/>
  <c r="E967" i="20"/>
  <c r="E966" i="20"/>
  <c r="E965" i="20"/>
  <c r="E964" i="20"/>
  <c r="E963" i="20"/>
  <c r="E962" i="20"/>
  <c r="E961" i="20"/>
  <c r="E960" i="20"/>
  <c r="E959" i="20"/>
  <c r="E958" i="20"/>
  <c r="E957" i="20"/>
  <c r="E956" i="20"/>
  <c r="E955" i="20"/>
  <c r="E954" i="20"/>
  <c r="E953" i="20"/>
  <c r="E952" i="20"/>
  <c r="E951" i="20"/>
  <c r="E950" i="20"/>
  <c r="E949" i="20"/>
  <c r="E948" i="20"/>
  <c r="E947" i="20"/>
  <c r="E946" i="20"/>
  <c r="E945" i="20"/>
  <c r="E944" i="20"/>
  <c r="E943" i="20"/>
  <c r="E942" i="20"/>
  <c r="E941" i="20"/>
  <c r="E940" i="20"/>
  <c r="E939" i="20"/>
  <c r="E938" i="20"/>
  <c r="E937" i="20"/>
  <c r="E936" i="20"/>
  <c r="E935" i="20"/>
  <c r="E934" i="20"/>
  <c r="E933" i="20"/>
  <c r="E932" i="20"/>
  <c r="E931" i="20"/>
  <c r="E930" i="20"/>
  <c r="E929" i="20"/>
  <c r="E928" i="20"/>
  <c r="E927" i="20"/>
  <c r="E926" i="20"/>
  <c r="E925" i="20"/>
  <c r="E924" i="20"/>
  <c r="E923" i="20"/>
  <c r="E922" i="20"/>
  <c r="E921" i="20"/>
  <c r="E920" i="20"/>
  <c r="E919" i="20"/>
  <c r="E918" i="20"/>
  <c r="E917" i="20"/>
  <c r="E916" i="20"/>
  <c r="E915" i="20"/>
  <c r="E914" i="20"/>
  <c r="E913" i="20"/>
  <c r="E912" i="20"/>
  <c r="E911" i="20"/>
  <c r="E910" i="20"/>
  <c r="E909" i="20"/>
  <c r="E908" i="20"/>
  <c r="E907" i="20"/>
  <c r="E906" i="20"/>
  <c r="E905" i="20"/>
  <c r="E904" i="20"/>
  <c r="E903" i="20"/>
  <c r="E902" i="20"/>
  <c r="E901" i="20"/>
  <c r="E900" i="20"/>
  <c r="E899" i="20"/>
  <c r="E898" i="20"/>
  <c r="E897" i="20"/>
  <c r="E896" i="20"/>
  <c r="E895" i="20"/>
  <c r="E894" i="20"/>
  <c r="E893" i="20"/>
  <c r="E892" i="20"/>
  <c r="E891" i="20"/>
  <c r="E890" i="20"/>
  <c r="E889" i="20"/>
  <c r="E888" i="20"/>
  <c r="E887" i="20"/>
  <c r="E886" i="20"/>
  <c r="E885" i="20"/>
  <c r="E884" i="20"/>
  <c r="E883" i="20"/>
  <c r="E882" i="20"/>
  <c r="E881" i="20"/>
  <c r="E880" i="20"/>
  <c r="E879" i="20"/>
  <c r="E878" i="20"/>
  <c r="E877" i="20"/>
  <c r="E876" i="20"/>
  <c r="E875" i="20"/>
  <c r="E874" i="20"/>
  <c r="E873" i="20"/>
  <c r="E872" i="20"/>
  <c r="E871" i="20"/>
  <c r="E870" i="20"/>
  <c r="E869" i="20"/>
  <c r="E868" i="20"/>
  <c r="E867" i="20"/>
  <c r="E866" i="20"/>
  <c r="E865" i="20"/>
  <c r="E864" i="20"/>
  <c r="E863" i="20"/>
  <c r="E862" i="20"/>
  <c r="E861" i="20"/>
  <c r="E860" i="20"/>
  <c r="E859" i="20"/>
  <c r="E858" i="20"/>
  <c r="E857" i="20"/>
  <c r="E856" i="20"/>
  <c r="E855" i="20"/>
  <c r="E854" i="20"/>
  <c r="E853" i="20"/>
  <c r="E852" i="20"/>
  <c r="E851" i="20"/>
  <c r="E850" i="20"/>
  <c r="E849" i="20"/>
  <c r="E848" i="20"/>
  <c r="E847" i="20"/>
  <c r="E846" i="20"/>
  <c r="E845" i="20"/>
  <c r="E844" i="20"/>
  <c r="E843" i="20"/>
  <c r="E842" i="20"/>
  <c r="E841" i="20"/>
  <c r="E840" i="20"/>
  <c r="E839" i="20"/>
  <c r="E838" i="20"/>
  <c r="E837" i="20"/>
  <c r="E836" i="20"/>
  <c r="E835" i="20"/>
  <c r="E834" i="20"/>
  <c r="E833" i="20"/>
  <c r="E832" i="20"/>
  <c r="E831" i="20"/>
  <c r="E830" i="20"/>
  <c r="E829" i="20"/>
  <c r="E828" i="20"/>
  <c r="E827" i="20"/>
  <c r="E826" i="20"/>
  <c r="E825" i="20"/>
  <c r="E824" i="20"/>
  <c r="E823" i="20"/>
  <c r="E822" i="20"/>
  <c r="E821" i="20"/>
  <c r="E820" i="20"/>
  <c r="E819" i="20"/>
  <c r="E818" i="20"/>
  <c r="E817" i="20"/>
  <c r="E816" i="20"/>
  <c r="E815" i="20"/>
  <c r="E814" i="20"/>
  <c r="E813" i="20"/>
  <c r="E812" i="20"/>
  <c r="E811" i="20"/>
  <c r="E810" i="20"/>
  <c r="E809" i="20"/>
  <c r="E808" i="20"/>
  <c r="E807" i="20"/>
  <c r="E806" i="20"/>
  <c r="E805" i="20"/>
  <c r="E804" i="20"/>
  <c r="E803" i="20"/>
  <c r="E802" i="20"/>
  <c r="E801" i="20"/>
  <c r="E800" i="20"/>
  <c r="E799" i="20"/>
  <c r="E798" i="20"/>
  <c r="E797" i="20"/>
  <c r="E796" i="20"/>
  <c r="E795" i="20"/>
  <c r="E794" i="20"/>
  <c r="E793" i="20"/>
  <c r="E792" i="20"/>
  <c r="E791" i="20"/>
  <c r="E790" i="20"/>
  <c r="E789" i="20"/>
  <c r="E788" i="20"/>
  <c r="E787" i="20"/>
  <c r="E786" i="20"/>
  <c r="E785" i="20"/>
  <c r="E784" i="20"/>
  <c r="E783" i="20"/>
  <c r="E782" i="20"/>
  <c r="E781" i="20"/>
  <c r="E780" i="20"/>
  <c r="E779" i="20"/>
  <c r="E778" i="20"/>
  <c r="E777" i="20"/>
  <c r="E776" i="20"/>
  <c r="E775" i="20"/>
  <c r="E774" i="20"/>
  <c r="E773" i="20"/>
  <c r="E772" i="20"/>
  <c r="E771" i="20"/>
  <c r="E770" i="20"/>
  <c r="E769" i="20"/>
  <c r="E768" i="20"/>
  <c r="E767" i="20"/>
  <c r="E766" i="20"/>
  <c r="E765" i="20"/>
  <c r="E764" i="20"/>
  <c r="E763" i="20"/>
  <c r="E762" i="20"/>
  <c r="E761" i="20"/>
  <c r="E760" i="20"/>
  <c r="E759" i="20"/>
  <c r="E758" i="20"/>
  <c r="E757" i="20"/>
  <c r="E756" i="20"/>
  <c r="E755" i="20"/>
  <c r="E754" i="20"/>
  <c r="E753" i="20"/>
  <c r="E752" i="20"/>
  <c r="E751" i="20"/>
  <c r="E750" i="20"/>
  <c r="E749" i="20"/>
  <c r="E748" i="20"/>
  <c r="E747" i="20"/>
  <c r="E746" i="20"/>
  <c r="E745" i="20"/>
  <c r="E744" i="20"/>
  <c r="E743" i="20"/>
  <c r="E742" i="20"/>
  <c r="E741" i="20"/>
  <c r="E740" i="20"/>
  <c r="E739" i="20"/>
  <c r="E738" i="20"/>
  <c r="E737" i="20"/>
  <c r="E736" i="20"/>
  <c r="E735" i="20"/>
  <c r="E734" i="20"/>
  <c r="E733" i="20"/>
  <c r="E732" i="20"/>
  <c r="E731" i="20"/>
  <c r="E730" i="20"/>
  <c r="E729" i="20"/>
  <c r="E728" i="20"/>
  <c r="E727" i="20"/>
  <c r="E726" i="20"/>
  <c r="E725" i="20"/>
  <c r="E724" i="20"/>
  <c r="E723" i="20"/>
  <c r="E722" i="20"/>
  <c r="E721" i="20"/>
  <c r="E720" i="20"/>
  <c r="E719" i="20"/>
  <c r="E718" i="20"/>
  <c r="E717" i="20"/>
  <c r="E716" i="20"/>
  <c r="E715" i="20"/>
  <c r="E714" i="20"/>
  <c r="E713" i="20"/>
  <c r="E712" i="20"/>
  <c r="E711" i="20"/>
  <c r="E710" i="20"/>
  <c r="E709" i="20"/>
  <c r="E708" i="20"/>
  <c r="E707" i="20"/>
  <c r="E706" i="20"/>
  <c r="E705" i="20"/>
  <c r="E704" i="20"/>
  <c r="E703" i="20"/>
  <c r="E702" i="20"/>
  <c r="E701" i="20"/>
  <c r="E700" i="20"/>
  <c r="E699" i="20"/>
  <c r="E698" i="20"/>
  <c r="E697" i="20"/>
  <c r="E696" i="20"/>
  <c r="E695" i="20"/>
  <c r="E694" i="20"/>
  <c r="E693" i="20"/>
  <c r="E692" i="20"/>
  <c r="E691" i="20"/>
  <c r="E690" i="20"/>
  <c r="E689" i="20"/>
  <c r="E688" i="20"/>
  <c r="E687" i="20"/>
  <c r="E686" i="20"/>
  <c r="E685" i="20"/>
  <c r="E684" i="20"/>
  <c r="E683" i="20"/>
  <c r="E682" i="20"/>
  <c r="E681" i="20"/>
  <c r="E680" i="20"/>
  <c r="E679" i="20"/>
  <c r="E678" i="20"/>
  <c r="E677" i="20"/>
  <c r="E676" i="20"/>
  <c r="E675" i="20"/>
  <c r="E674" i="20"/>
  <c r="E673" i="20"/>
  <c r="E672" i="20"/>
  <c r="E671" i="20"/>
  <c r="E670" i="20"/>
  <c r="E669" i="20"/>
  <c r="E668" i="20"/>
  <c r="E667" i="20"/>
  <c r="E666" i="20"/>
  <c r="E665" i="20"/>
  <c r="E664" i="20"/>
  <c r="E663" i="20"/>
  <c r="E662" i="20"/>
  <c r="E661" i="20"/>
  <c r="E660" i="20"/>
  <c r="E659" i="20"/>
  <c r="E658" i="20"/>
  <c r="E657" i="20"/>
  <c r="E656" i="20"/>
  <c r="E655" i="20"/>
  <c r="E654" i="20"/>
  <c r="E653" i="20"/>
  <c r="E652" i="20"/>
  <c r="E651" i="20"/>
  <c r="E650" i="20"/>
  <c r="E649" i="20"/>
  <c r="E648" i="20"/>
  <c r="E647" i="20"/>
  <c r="E646" i="20"/>
  <c r="E645" i="20"/>
  <c r="E644" i="20"/>
  <c r="E643" i="20"/>
  <c r="E642" i="20"/>
  <c r="E641" i="20"/>
  <c r="E640" i="20"/>
  <c r="E639" i="20"/>
  <c r="E638" i="20"/>
  <c r="E637" i="20"/>
  <c r="E636" i="20"/>
  <c r="E635" i="20"/>
  <c r="E634" i="20"/>
  <c r="E633" i="20"/>
  <c r="E632" i="20"/>
  <c r="E631" i="20"/>
  <c r="E630" i="20"/>
  <c r="E629" i="20"/>
  <c r="E628" i="20"/>
  <c r="E627" i="20"/>
  <c r="E626" i="20"/>
  <c r="E625" i="20"/>
  <c r="E624" i="20"/>
  <c r="E623" i="20"/>
  <c r="E622" i="20"/>
  <c r="E621" i="20"/>
  <c r="E620" i="20"/>
  <c r="E619" i="20"/>
  <c r="E618" i="20"/>
  <c r="E617" i="20"/>
  <c r="E616" i="20"/>
  <c r="E615" i="20"/>
  <c r="E614" i="20"/>
  <c r="E613" i="20"/>
  <c r="E612" i="20"/>
  <c r="E611" i="20"/>
  <c r="E610" i="20"/>
  <c r="E609" i="20"/>
  <c r="E608" i="20"/>
  <c r="E607" i="20"/>
  <c r="E606" i="20"/>
  <c r="E605" i="20"/>
  <c r="E604" i="20"/>
  <c r="E603" i="20"/>
  <c r="E602" i="20"/>
  <c r="E601" i="20"/>
  <c r="E600" i="20"/>
  <c r="E599" i="20"/>
  <c r="E598" i="20"/>
  <c r="E597" i="20"/>
  <c r="E596" i="20"/>
  <c r="E595" i="20"/>
  <c r="E594" i="20"/>
  <c r="E593" i="20"/>
  <c r="E592" i="20"/>
  <c r="E591" i="20"/>
  <c r="E590" i="20"/>
  <c r="E589" i="20"/>
  <c r="E588" i="20"/>
  <c r="E587" i="20"/>
  <c r="E586" i="20"/>
  <c r="E585" i="20"/>
  <c r="E584" i="20"/>
  <c r="E583" i="20"/>
  <c r="E582" i="20"/>
  <c r="E581" i="20"/>
  <c r="E580" i="20"/>
  <c r="E579" i="20"/>
  <c r="E578" i="20"/>
  <c r="E577" i="20"/>
  <c r="E576" i="20"/>
  <c r="E575" i="20"/>
  <c r="E574" i="20"/>
  <c r="E573" i="20"/>
  <c r="E572" i="20"/>
  <c r="E571" i="20"/>
  <c r="E570" i="20"/>
  <c r="E569" i="20"/>
  <c r="E568" i="20"/>
  <c r="E567" i="20"/>
  <c r="E566" i="20"/>
  <c r="E565" i="20"/>
  <c r="E564" i="20"/>
  <c r="E563" i="20"/>
  <c r="E562" i="20"/>
  <c r="E561" i="20"/>
  <c r="E560" i="20"/>
  <c r="E559" i="20"/>
  <c r="E558" i="20"/>
  <c r="E557" i="20"/>
  <c r="E556" i="20"/>
  <c r="E555" i="20"/>
  <c r="E554" i="20"/>
  <c r="E553" i="20"/>
  <c r="E552" i="20"/>
  <c r="E551" i="20"/>
  <c r="E550" i="20"/>
  <c r="E549" i="20"/>
  <c r="E548" i="20"/>
  <c r="E547" i="20"/>
  <c r="E546" i="20"/>
  <c r="E545" i="20"/>
  <c r="E544" i="20"/>
  <c r="E543" i="20"/>
  <c r="E542" i="20"/>
  <c r="E541" i="20"/>
  <c r="E540" i="20"/>
  <c r="E539" i="20"/>
  <c r="E538" i="20"/>
  <c r="E537" i="20"/>
  <c r="E536" i="20"/>
  <c r="E535" i="20"/>
  <c r="E534" i="20"/>
  <c r="E533" i="20"/>
  <c r="E532" i="20"/>
  <c r="E531" i="20"/>
  <c r="E530" i="20"/>
  <c r="E529" i="20"/>
  <c r="E528" i="20"/>
  <c r="E527" i="20"/>
  <c r="E526" i="20"/>
  <c r="E525" i="20"/>
  <c r="E524" i="20"/>
  <c r="E523" i="20"/>
  <c r="E522" i="20"/>
  <c r="E521" i="20"/>
  <c r="E520" i="20"/>
  <c r="E519" i="20"/>
  <c r="E518" i="20"/>
  <c r="E517" i="20"/>
  <c r="E516" i="20"/>
  <c r="E515" i="20"/>
  <c r="E514" i="20"/>
  <c r="E513" i="20"/>
  <c r="E512" i="20"/>
  <c r="E511" i="20"/>
  <c r="E510" i="20"/>
  <c r="E509" i="20"/>
  <c r="E508" i="20"/>
  <c r="E507" i="20"/>
  <c r="E506" i="20"/>
  <c r="E505" i="20"/>
  <c r="E504" i="20"/>
  <c r="E503" i="20"/>
  <c r="E502" i="20"/>
  <c r="E501" i="20"/>
  <c r="E500" i="20"/>
  <c r="E499" i="20"/>
  <c r="E498" i="20"/>
  <c r="E497" i="20"/>
  <c r="E496" i="20"/>
  <c r="E495" i="20"/>
  <c r="E494" i="20"/>
  <c r="E493" i="20"/>
  <c r="E492" i="20"/>
  <c r="E491" i="20"/>
  <c r="E490" i="20"/>
  <c r="E489" i="20"/>
  <c r="E488" i="20"/>
  <c r="E487" i="20"/>
  <c r="E486" i="20"/>
  <c r="E485" i="20"/>
  <c r="E484" i="20"/>
  <c r="E483" i="20"/>
  <c r="E482" i="20"/>
  <c r="E481" i="20"/>
  <c r="E480" i="20"/>
  <c r="E479" i="20"/>
  <c r="E478" i="20"/>
  <c r="E477" i="20"/>
  <c r="E476" i="20"/>
  <c r="E475" i="20"/>
  <c r="E474" i="20"/>
  <c r="E473" i="20"/>
  <c r="E472" i="20"/>
  <c r="E471" i="20"/>
  <c r="E470" i="20"/>
  <c r="E469" i="20"/>
  <c r="E468" i="20"/>
  <c r="E467" i="20"/>
  <c r="E466" i="20"/>
  <c r="E465" i="20"/>
  <c r="E464" i="20"/>
  <c r="E463" i="20"/>
  <c r="E462" i="20"/>
  <c r="E461" i="20"/>
  <c r="E460" i="20"/>
  <c r="E459" i="20"/>
  <c r="E458" i="20"/>
  <c r="E457" i="20"/>
  <c r="E456" i="20"/>
  <c r="E455" i="20"/>
  <c r="E454" i="20"/>
  <c r="E453" i="20"/>
  <c r="E452" i="20"/>
  <c r="E451" i="20"/>
  <c r="E450" i="20"/>
  <c r="E449" i="20"/>
  <c r="E448" i="20"/>
  <c r="E447" i="20"/>
  <c r="E446" i="20"/>
  <c r="E445" i="20"/>
  <c r="E444" i="20"/>
  <c r="E443" i="20"/>
  <c r="E442" i="20"/>
  <c r="E441" i="20"/>
  <c r="E440" i="20"/>
  <c r="E439" i="20"/>
  <c r="E438" i="20"/>
  <c r="E437" i="20"/>
  <c r="E436" i="20"/>
  <c r="E435" i="20"/>
  <c r="E434" i="20"/>
  <c r="E433" i="20"/>
  <c r="E432" i="20"/>
  <c r="E431" i="20"/>
  <c r="E430" i="20"/>
  <c r="E429" i="20"/>
  <c r="E428" i="20"/>
  <c r="E427" i="20"/>
  <c r="E426" i="20"/>
  <c r="E425" i="20"/>
  <c r="E424" i="20"/>
  <c r="E423" i="20"/>
  <c r="E422" i="20"/>
  <c r="E421" i="20"/>
  <c r="E420" i="20"/>
  <c r="E419" i="20"/>
  <c r="E418" i="20"/>
  <c r="E417" i="20"/>
  <c r="E416" i="20"/>
  <c r="E415" i="20"/>
  <c r="E414" i="20"/>
  <c r="E413" i="20"/>
  <c r="E412" i="20"/>
  <c r="E411" i="20"/>
  <c r="E410" i="20"/>
  <c r="E409" i="20"/>
  <c r="E408" i="20"/>
  <c r="E407" i="20"/>
  <c r="E406" i="20"/>
  <c r="E405" i="20"/>
  <c r="E404" i="20"/>
  <c r="E403" i="20"/>
  <c r="E402" i="20"/>
  <c r="E401" i="20"/>
  <c r="E400" i="20"/>
  <c r="E399" i="20"/>
  <c r="E398" i="20"/>
  <c r="E397" i="20"/>
  <c r="E396" i="20"/>
  <c r="E395" i="20"/>
  <c r="E394" i="20"/>
  <c r="E393" i="20"/>
  <c r="E392" i="20"/>
  <c r="E391" i="20"/>
  <c r="E390" i="20"/>
  <c r="E389" i="20"/>
  <c r="E388" i="20"/>
  <c r="E387" i="20"/>
  <c r="E386" i="20"/>
  <c r="E385" i="20"/>
  <c r="E384" i="20"/>
  <c r="E383" i="20"/>
  <c r="E382" i="20"/>
  <c r="E381" i="20"/>
  <c r="E380" i="20"/>
  <c r="E379" i="20"/>
  <c r="E378" i="20"/>
  <c r="E377" i="20"/>
  <c r="E376" i="20"/>
  <c r="E375" i="20"/>
  <c r="E374" i="20"/>
  <c r="E373" i="20"/>
  <c r="E372" i="20"/>
  <c r="E371" i="20"/>
  <c r="E370" i="20"/>
  <c r="E369" i="20"/>
  <c r="E368" i="20"/>
  <c r="E367" i="20"/>
  <c r="E366" i="20"/>
  <c r="E365" i="20"/>
  <c r="E363" i="20"/>
  <c r="E362" i="20"/>
  <c r="E361" i="20"/>
  <c r="E360" i="20"/>
  <c r="E359" i="20"/>
  <c r="E358" i="20"/>
  <c r="E357" i="20"/>
  <c r="E356" i="20"/>
  <c r="E355" i="20"/>
  <c r="E354" i="20"/>
  <c r="E353" i="20"/>
  <c r="E352" i="20"/>
  <c r="E351" i="20"/>
  <c r="E350" i="20"/>
  <c r="E349" i="20"/>
  <c r="E348" i="20"/>
  <c r="E347" i="20"/>
  <c r="E346" i="20"/>
  <c r="E345" i="20"/>
  <c r="E344" i="20"/>
  <c r="E343" i="20"/>
  <c r="E342" i="20"/>
  <c r="E341" i="20"/>
  <c r="E340" i="20"/>
  <c r="E339" i="20"/>
  <c r="E338" i="20"/>
  <c r="E337" i="20"/>
  <c r="E336" i="20"/>
  <c r="E335" i="20"/>
  <c r="E334" i="20"/>
  <c r="E333" i="20"/>
  <c r="E332" i="20"/>
  <c r="E331" i="20"/>
  <c r="E330" i="20"/>
  <c r="E329" i="20"/>
  <c r="E328" i="20"/>
  <c r="E327" i="20"/>
  <c r="E326" i="20"/>
  <c r="E325" i="20"/>
  <c r="E324" i="20"/>
  <c r="E323" i="20"/>
  <c r="E322" i="20"/>
  <c r="E321" i="20"/>
  <c r="E320" i="20"/>
  <c r="E319" i="20"/>
  <c r="E318" i="20"/>
  <c r="E317" i="20"/>
  <c r="E316" i="20"/>
  <c r="E315" i="20"/>
  <c r="E314" i="20"/>
  <c r="E313" i="20"/>
  <c r="E312" i="20"/>
  <c r="E311" i="20"/>
  <c r="E310" i="20"/>
  <c r="E309" i="20"/>
  <c r="E308" i="20"/>
  <c r="E307" i="20"/>
  <c r="E306" i="20"/>
  <c r="E305" i="20"/>
  <c r="E304" i="20"/>
  <c r="E303" i="20"/>
  <c r="E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C1771" i="19"/>
  <c r="I1770" i="19"/>
  <c r="F1770" i="19"/>
  <c r="E1770" i="19"/>
  <c r="D1770" i="19"/>
  <c r="C1770" i="19"/>
  <c r="I1769" i="19"/>
  <c r="F1769" i="19"/>
  <c r="E1769" i="19"/>
  <c r="D1769" i="19"/>
  <c r="C1769" i="19"/>
  <c r="I1768" i="19"/>
  <c r="F1768" i="19"/>
  <c r="E1768" i="19"/>
  <c r="D1768" i="19"/>
  <c r="C1768" i="19"/>
  <c r="I1767" i="19"/>
  <c r="F1767" i="19"/>
  <c r="E1767" i="19"/>
  <c r="D1767" i="19"/>
  <c r="C1767" i="19"/>
  <c r="I1766" i="19"/>
  <c r="F1766" i="19"/>
  <c r="E1766" i="19"/>
  <c r="D1766" i="19"/>
  <c r="C1766" i="19"/>
  <c r="I1765" i="19"/>
  <c r="F1765" i="19"/>
  <c r="E1765" i="19"/>
  <c r="D1765" i="19"/>
  <c r="C1765" i="19"/>
  <c r="I1764" i="19"/>
  <c r="F1764" i="19"/>
  <c r="E1764" i="19"/>
  <c r="D1764" i="19"/>
  <c r="C1764" i="19"/>
  <c r="F1763" i="19"/>
  <c r="E1763" i="19"/>
  <c r="D1763" i="19"/>
  <c r="C1763" i="19"/>
  <c r="F1762" i="19"/>
  <c r="E1762" i="19"/>
  <c r="D1762" i="19"/>
  <c r="C1762" i="19"/>
  <c r="F1761" i="19"/>
  <c r="E1761" i="19"/>
  <c r="D1761" i="19"/>
  <c r="C1761" i="19"/>
  <c r="F1760" i="19"/>
  <c r="E1760" i="19"/>
  <c r="D1760" i="19"/>
  <c r="C1760" i="19"/>
  <c r="F1759" i="19"/>
  <c r="E1759" i="19"/>
  <c r="C1759" i="19"/>
  <c r="F1758" i="19"/>
  <c r="E1758" i="19"/>
  <c r="C1758" i="19"/>
  <c r="F1757" i="19"/>
  <c r="E1757" i="19"/>
  <c r="C1757" i="19"/>
  <c r="F1756" i="19"/>
  <c r="E1756" i="19"/>
  <c r="C1756" i="19"/>
  <c r="F1755" i="19"/>
  <c r="E1755" i="19"/>
  <c r="C1755" i="19"/>
  <c r="F1754" i="19"/>
  <c r="E1754" i="19"/>
  <c r="C1754" i="19"/>
  <c r="F1753" i="19"/>
  <c r="E1753" i="19"/>
  <c r="C1753" i="19"/>
  <c r="C1752" i="19"/>
  <c r="F1751" i="19"/>
  <c r="E1751" i="19"/>
  <c r="D1751" i="19"/>
  <c r="C1751" i="19"/>
  <c r="F1750" i="19"/>
  <c r="E1750" i="19"/>
  <c r="D1750" i="19"/>
  <c r="C1750" i="19"/>
  <c r="F1749" i="19"/>
  <c r="E1749" i="19"/>
  <c r="D1749" i="19"/>
  <c r="C1749" i="19"/>
  <c r="F1748" i="19"/>
  <c r="E1748" i="19"/>
  <c r="C1748" i="19"/>
  <c r="F1747" i="19"/>
  <c r="E1747" i="19"/>
  <c r="C1747" i="19"/>
  <c r="F1746" i="19"/>
  <c r="E1746" i="19"/>
  <c r="C1746" i="19"/>
  <c r="F1745" i="19"/>
  <c r="E1745" i="19"/>
  <c r="C1745" i="19"/>
  <c r="F1744" i="19"/>
  <c r="E1744" i="19"/>
  <c r="C1744" i="19"/>
  <c r="F1743" i="19"/>
  <c r="E1743" i="19"/>
  <c r="C1743" i="19"/>
  <c r="F1742" i="19"/>
  <c r="E1742" i="19"/>
  <c r="C1742" i="19"/>
  <c r="F1741" i="19"/>
  <c r="E1741" i="19"/>
  <c r="C1741" i="19"/>
  <c r="F1740" i="19"/>
  <c r="E1740" i="19"/>
  <c r="C1740" i="19"/>
  <c r="F1739" i="19"/>
  <c r="E1739" i="19"/>
  <c r="C1739" i="19"/>
  <c r="C1738" i="19"/>
  <c r="F1737" i="19"/>
  <c r="E1737" i="19"/>
  <c r="D1737" i="19"/>
  <c r="C1737" i="19"/>
  <c r="F1736" i="19"/>
  <c r="E1736" i="19"/>
  <c r="D1736" i="19"/>
  <c r="C1736" i="19"/>
  <c r="F1735" i="19"/>
  <c r="E1735" i="19"/>
  <c r="D1735" i="19"/>
  <c r="C1735" i="19"/>
  <c r="F1734" i="19"/>
  <c r="E1734" i="19"/>
  <c r="C1734" i="19"/>
  <c r="F1733" i="19"/>
  <c r="E1733" i="19"/>
  <c r="C1733" i="19"/>
  <c r="F1732" i="19"/>
  <c r="E1732" i="19"/>
  <c r="C1732" i="19"/>
  <c r="F1731" i="19"/>
  <c r="E1731" i="19"/>
  <c r="C1731" i="19"/>
  <c r="F1730" i="19"/>
  <c r="E1730" i="19"/>
  <c r="C1730" i="19"/>
  <c r="F1729" i="19"/>
  <c r="E1729" i="19"/>
  <c r="C1729" i="19"/>
  <c r="F1728" i="19"/>
  <c r="E1728" i="19"/>
  <c r="C1728" i="19"/>
  <c r="F1727" i="19"/>
  <c r="E1727" i="19"/>
  <c r="C1727" i="19"/>
  <c r="F1726" i="19"/>
  <c r="E1726" i="19"/>
  <c r="C1726" i="19"/>
  <c r="F1725" i="19"/>
  <c r="E1725" i="19"/>
  <c r="C1725" i="19"/>
  <c r="C1724" i="19"/>
  <c r="C1723" i="19"/>
  <c r="H1722" i="19"/>
  <c r="I1722" i="19" s="1"/>
  <c r="F1722" i="19"/>
  <c r="E1722" i="19"/>
  <c r="D1722" i="19"/>
  <c r="C1722" i="19"/>
  <c r="H1721" i="19"/>
  <c r="I1721" i="19" s="1"/>
  <c r="F1721" i="19"/>
  <c r="E1721" i="19"/>
  <c r="D1721" i="19"/>
  <c r="C1721" i="19"/>
  <c r="H1720" i="19"/>
  <c r="I1720" i="19" s="1"/>
  <c r="F1720" i="19"/>
  <c r="E1720" i="19"/>
  <c r="D1720" i="19"/>
  <c r="C1720" i="19"/>
  <c r="H1719" i="19"/>
  <c r="I1719" i="19" s="1"/>
  <c r="F1719" i="19"/>
  <c r="E1719" i="19"/>
  <c r="D1719" i="19"/>
  <c r="C1719" i="19"/>
  <c r="G1718" i="19"/>
  <c r="C1718" i="19" s="1"/>
  <c r="H1717" i="19"/>
  <c r="I1717" i="19" s="1"/>
  <c r="F1717" i="19"/>
  <c r="E1717" i="19"/>
  <c r="D1717" i="19"/>
  <c r="C1717" i="19"/>
  <c r="H1716" i="19"/>
  <c r="I1716" i="19" s="1"/>
  <c r="F1716" i="19"/>
  <c r="E1716" i="19"/>
  <c r="D1716" i="19"/>
  <c r="C1716" i="19"/>
  <c r="G1715" i="19"/>
  <c r="H1715" i="19" s="1"/>
  <c r="I1715" i="19" s="1"/>
  <c r="F1715" i="19"/>
  <c r="G1713" i="19"/>
  <c r="C1713" i="19" s="1"/>
  <c r="F1713" i="19"/>
  <c r="E1713" i="19"/>
  <c r="D1713" i="19"/>
  <c r="G1712" i="19"/>
  <c r="F1712" i="19"/>
  <c r="E1712" i="19"/>
  <c r="D1712" i="19"/>
  <c r="F1711" i="19"/>
  <c r="E1711" i="19"/>
  <c r="D1711" i="19"/>
  <c r="G1710" i="19"/>
  <c r="F1710" i="19"/>
  <c r="E1710" i="19"/>
  <c r="D1710" i="19"/>
  <c r="G1709" i="19"/>
  <c r="H1709" i="19" s="1"/>
  <c r="I1709" i="19" s="1"/>
  <c r="F1709" i="19"/>
  <c r="E1709" i="19"/>
  <c r="D1709" i="19"/>
  <c r="F1708" i="19"/>
  <c r="E1708" i="19"/>
  <c r="D1708" i="19"/>
  <c r="G1707" i="19"/>
  <c r="G1708" i="19" s="1"/>
  <c r="F1707" i="19"/>
  <c r="E1707" i="19"/>
  <c r="D1707" i="19"/>
  <c r="G1706" i="19"/>
  <c r="F1706" i="19"/>
  <c r="E1706" i="19"/>
  <c r="D1706" i="19"/>
  <c r="F1705" i="19"/>
  <c r="E1705" i="19"/>
  <c r="D1705" i="19"/>
  <c r="G1704" i="19"/>
  <c r="F1704" i="19"/>
  <c r="E1704" i="19"/>
  <c r="D1704" i="19"/>
  <c r="G1703" i="19"/>
  <c r="C1703" i="19" s="1"/>
  <c r="F1703" i="19"/>
  <c r="E1703" i="19"/>
  <c r="D1703" i="19"/>
  <c r="G1702" i="19"/>
  <c r="C1702" i="19" s="1"/>
  <c r="F1702" i="19"/>
  <c r="E1702" i="19"/>
  <c r="D1702" i="19"/>
  <c r="G1701" i="19"/>
  <c r="H1701" i="19" s="1"/>
  <c r="I1701" i="19" s="1"/>
  <c r="F1701" i="19"/>
  <c r="E1701" i="19"/>
  <c r="D1701" i="19"/>
  <c r="G1700" i="19"/>
  <c r="C1700" i="19" s="1"/>
  <c r="F1700" i="19"/>
  <c r="E1700" i="19"/>
  <c r="D1700" i="19"/>
  <c r="G1699" i="19"/>
  <c r="H1699" i="19" s="1"/>
  <c r="I1699" i="19" s="1"/>
  <c r="F1699" i="19"/>
  <c r="E1699" i="19"/>
  <c r="D1699" i="19"/>
  <c r="G1698" i="19"/>
  <c r="C1698" i="19" s="1"/>
  <c r="F1698" i="19"/>
  <c r="E1698" i="19"/>
  <c r="D1698" i="19"/>
  <c r="G1697" i="19"/>
  <c r="H1697" i="19" s="1"/>
  <c r="I1697" i="19" s="1"/>
  <c r="F1697" i="19"/>
  <c r="E1697" i="19"/>
  <c r="D1697" i="19"/>
  <c r="F1696" i="19"/>
  <c r="E1696" i="19"/>
  <c r="D1696" i="19"/>
  <c r="G1695" i="19"/>
  <c r="H1695" i="19" s="1"/>
  <c r="I1695" i="19" s="1"/>
  <c r="F1695" i="19"/>
  <c r="E1695" i="19"/>
  <c r="D1695" i="19"/>
  <c r="G1694" i="19"/>
  <c r="C1694" i="19" s="1"/>
  <c r="F1694" i="19"/>
  <c r="E1694" i="19"/>
  <c r="D1694" i="19"/>
  <c r="G1693" i="19"/>
  <c r="C1693" i="19" s="1"/>
  <c r="F1693" i="19"/>
  <c r="E1693" i="19"/>
  <c r="D1693" i="19"/>
  <c r="G1692" i="19"/>
  <c r="C1692" i="19" s="1"/>
  <c r="F1692" i="19"/>
  <c r="E1692" i="19"/>
  <c r="D1692" i="19"/>
  <c r="G1691" i="19"/>
  <c r="G1711" i="19" s="1"/>
  <c r="F1691" i="19"/>
  <c r="E1691" i="19"/>
  <c r="D1691" i="19"/>
  <c r="G1690" i="19"/>
  <c r="C1690" i="19" s="1"/>
  <c r="F1690" i="19"/>
  <c r="E1690" i="19"/>
  <c r="D1690" i="19"/>
  <c r="C1689" i="19"/>
  <c r="H1688" i="19"/>
  <c r="I1688" i="19" s="1"/>
  <c r="F1688" i="19"/>
  <c r="E1688" i="19"/>
  <c r="D1688" i="19"/>
  <c r="C1688" i="19"/>
  <c r="H1687" i="19"/>
  <c r="I1687" i="19" s="1"/>
  <c r="F1687" i="19"/>
  <c r="E1687" i="19"/>
  <c r="D1687" i="19"/>
  <c r="C1687" i="19"/>
  <c r="H1686" i="19"/>
  <c r="I1686" i="19" s="1"/>
  <c r="F1686" i="19"/>
  <c r="E1686" i="19"/>
  <c r="D1686" i="19"/>
  <c r="C1686" i="19"/>
  <c r="H1685" i="19"/>
  <c r="I1685" i="19" s="1"/>
  <c r="F1685" i="19"/>
  <c r="E1685" i="19"/>
  <c r="D1685" i="19"/>
  <c r="C1685" i="19"/>
  <c r="H1684" i="19"/>
  <c r="I1684" i="19" s="1"/>
  <c r="F1684" i="19"/>
  <c r="E1684" i="19"/>
  <c r="D1684" i="19"/>
  <c r="C1684" i="19"/>
  <c r="H1683" i="19"/>
  <c r="I1683" i="19" s="1"/>
  <c r="F1683" i="19"/>
  <c r="E1683" i="19"/>
  <c r="D1683" i="19"/>
  <c r="C1683" i="19"/>
  <c r="H1682" i="19"/>
  <c r="I1682" i="19" s="1"/>
  <c r="F1682" i="19"/>
  <c r="E1682" i="19"/>
  <c r="D1682" i="19"/>
  <c r="C1682" i="19"/>
  <c r="H1681" i="19"/>
  <c r="I1681" i="19" s="1"/>
  <c r="F1681" i="19"/>
  <c r="E1681" i="19"/>
  <c r="D1681" i="19"/>
  <c r="C1681" i="19"/>
  <c r="G1680" i="19"/>
  <c r="C1680" i="19" s="1"/>
  <c r="F1680" i="19"/>
  <c r="E1680" i="19"/>
  <c r="D1680" i="19"/>
  <c r="F1679" i="19"/>
  <c r="E1679" i="19"/>
  <c r="D1679" i="19"/>
  <c r="G1678" i="19"/>
  <c r="H1678" i="19" s="1"/>
  <c r="I1678" i="19" s="1"/>
  <c r="H1677" i="19"/>
  <c r="I1677" i="19" s="1"/>
  <c r="F1677" i="19"/>
  <c r="E1677" i="19"/>
  <c r="D1677" i="19"/>
  <c r="C1677" i="19"/>
  <c r="G1676" i="19"/>
  <c r="H1676" i="19" s="1"/>
  <c r="I1676" i="19" s="1"/>
  <c r="F1676" i="19"/>
  <c r="E1676" i="19"/>
  <c r="D1676" i="19"/>
  <c r="G1675" i="19"/>
  <c r="C1675" i="19" s="1"/>
  <c r="F1675" i="19"/>
  <c r="D1675" i="19"/>
  <c r="E1675" i="19"/>
  <c r="H1674" i="19"/>
  <c r="I1674" i="19" s="1"/>
  <c r="C1674" i="19"/>
  <c r="H1673" i="19"/>
  <c r="I1673" i="19" s="1"/>
  <c r="F1673" i="19"/>
  <c r="E1673" i="19"/>
  <c r="D1673" i="19"/>
  <c r="C1673" i="19"/>
  <c r="H1672" i="19"/>
  <c r="I1672" i="19" s="1"/>
  <c r="E1672" i="19"/>
  <c r="C1672" i="19"/>
  <c r="D1672" i="19"/>
  <c r="H1671" i="19"/>
  <c r="I1671" i="19" s="1"/>
  <c r="F1671" i="19"/>
  <c r="E1671" i="19"/>
  <c r="D1671" i="19"/>
  <c r="C1671" i="19"/>
  <c r="H1670" i="19"/>
  <c r="I1670" i="19" s="1"/>
  <c r="C1670" i="19"/>
  <c r="D1670" i="19"/>
  <c r="H1669" i="19"/>
  <c r="I1669" i="19" s="1"/>
  <c r="F1669" i="19"/>
  <c r="E1669" i="19"/>
  <c r="D1669" i="19"/>
  <c r="C1669" i="19"/>
  <c r="H1668" i="19"/>
  <c r="I1668" i="19" s="1"/>
  <c r="F1668" i="19"/>
  <c r="E1668" i="19"/>
  <c r="D1668" i="19"/>
  <c r="C1668" i="19"/>
  <c r="H1666" i="19"/>
  <c r="I1666" i="19" s="1"/>
  <c r="C1666" i="19" s="1"/>
  <c r="F1666" i="19"/>
  <c r="E1666" i="19"/>
  <c r="D1666" i="19"/>
  <c r="H1665" i="19"/>
  <c r="I1665" i="19" s="1"/>
  <c r="C1665" i="19" s="1"/>
  <c r="F1665" i="19"/>
  <c r="E1665" i="19"/>
  <c r="D1665" i="19"/>
  <c r="H1664" i="19"/>
  <c r="I1664" i="19" s="1"/>
  <c r="C1664" i="19" s="1"/>
  <c r="F1664" i="19"/>
  <c r="E1664" i="19"/>
  <c r="D1664" i="19"/>
  <c r="H1663" i="19"/>
  <c r="I1663" i="19" s="1"/>
  <c r="C1663" i="19" s="1"/>
  <c r="F1663" i="19"/>
  <c r="E1663" i="19"/>
  <c r="D1663" i="19"/>
  <c r="G1662" i="19"/>
  <c r="H1662" i="19" s="1"/>
  <c r="I1662" i="19" s="1"/>
  <c r="C1662" i="19" s="1"/>
  <c r="F1662" i="19"/>
  <c r="E1662" i="19"/>
  <c r="D1662" i="19"/>
  <c r="H1661" i="19"/>
  <c r="I1661" i="19" s="1"/>
  <c r="C1661" i="19" s="1"/>
  <c r="F1661" i="19"/>
  <c r="E1661" i="19"/>
  <c r="D1661" i="19"/>
  <c r="H1660" i="19"/>
  <c r="I1660" i="19" s="1"/>
  <c r="C1660" i="19" s="1"/>
  <c r="D1660" i="19"/>
  <c r="H1659" i="19"/>
  <c r="I1659" i="19" s="1"/>
  <c r="C1659" i="19" s="1"/>
  <c r="F1659" i="19"/>
  <c r="H1658" i="19"/>
  <c r="I1658" i="19" s="1"/>
  <c r="C1658" i="19" s="1"/>
  <c r="E1658" i="19"/>
  <c r="I1657" i="19"/>
  <c r="C1657" i="19" s="1"/>
  <c r="G1657" i="19"/>
  <c r="F1657" i="19"/>
  <c r="E1657" i="19"/>
  <c r="D1657" i="19"/>
  <c r="H1655" i="19"/>
  <c r="I1655" i="19" s="1"/>
  <c r="C1655" i="19" s="1"/>
  <c r="F1655" i="19"/>
  <c r="E1655" i="19"/>
  <c r="D1655" i="19"/>
  <c r="H1654" i="19"/>
  <c r="I1654" i="19" s="1"/>
  <c r="C1654" i="19" s="1"/>
  <c r="F1654" i="19"/>
  <c r="E1654" i="19"/>
  <c r="D1654" i="19"/>
  <c r="G1653" i="19"/>
  <c r="H1653" i="19" s="1"/>
  <c r="I1653" i="19" s="1"/>
  <c r="C1653" i="19" s="1"/>
  <c r="F1653" i="19"/>
  <c r="E1653" i="19"/>
  <c r="D1653" i="19"/>
  <c r="H1652" i="19"/>
  <c r="I1652" i="19" s="1"/>
  <c r="C1652" i="19" s="1"/>
  <c r="F1652" i="19"/>
  <c r="E1652" i="19"/>
  <c r="D1652" i="19"/>
  <c r="H1651" i="19"/>
  <c r="I1651" i="19" s="1"/>
  <c r="C1651" i="19" s="1"/>
  <c r="F1651" i="19"/>
  <c r="E1651" i="19"/>
  <c r="D1651" i="19"/>
  <c r="H1650" i="19"/>
  <c r="I1650" i="19" s="1"/>
  <c r="C1650" i="19" s="1"/>
  <c r="F1650" i="19"/>
  <c r="E1650" i="19"/>
  <c r="D1650" i="19"/>
  <c r="G1649" i="19"/>
  <c r="D1649" i="19"/>
  <c r="G1648" i="19"/>
  <c r="H1648" i="19" s="1"/>
  <c r="I1648" i="19" s="1"/>
  <c r="C1648" i="19" s="1"/>
  <c r="F1648" i="19"/>
  <c r="G1647" i="19"/>
  <c r="H1647" i="19" s="1"/>
  <c r="I1647" i="19" s="1"/>
  <c r="C1647" i="19" s="1"/>
  <c r="E1647" i="19"/>
  <c r="I1646" i="19"/>
  <c r="C1646" i="19" s="1"/>
  <c r="G1646" i="19"/>
  <c r="F1646" i="19"/>
  <c r="E1646" i="19"/>
  <c r="D1646" i="19"/>
  <c r="H1644" i="19"/>
  <c r="I1644" i="19" s="1"/>
  <c r="C1644" i="19" s="1"/>
  <c r="F1644" i="19"/>
  <c r="E1644" i="19"/>
  <c r="D1644" i="19"/>
  <c r="H1643" i="19"/>
  <c r="I1643" i="19" s="1"/>
  <c r="C1643" i="19" s="1"/>
  <c r="F1643" i="19"/>
  <c r="E1643" i="19"/>
  <c r="D1643" i="19"/>
  <c r="H1642" i="19"/>
  <c r="I1642" i="19" s="1"/>
  <c r="C1642" i="19" s="1"/>
  <c r="F1642" i="19"/>
  <c r="E1642" i="19"/>
  <c r="D1642" i="19"/>
  <c r="H1641" i="19"/>
  <c r="I1641" i="19" s="1"/>
  <c r="C1641" i="19" s="1"/>
  <c r="F1641" i="19"/>
  <c r="E1641" i="19"/>
  <c r="D1641" i="19"/>
  <c r="H1640" i="19"/>
  <c r="I1640" i="19" s="1"/>
  <c r="C1640" i="19" s="1"/>
  <c r="F1640" i="19"/>
  <c r="E1640" i="19"/>
  <c r="D1640" i="19"/>
  <c r="H1639" i="19"/>
  <c r="I1639" i="19" s="1"/>
  <c r="C1639" i="19" s="1"/>
  <c r="F1639" i="19"/>
  <c r="E1639" i="19"/>
  <c r="D1639" i="19"/>
  <c r="H1638" i="19"/>
  <c r="I1638" i="19" s="1"/>
  <c r="C1638" i="19" s="1"/>
  <c r="F1638" i="19"/>
  <c r="E1638" i="19"/>
  <c r="D1638" i="19"/>
  <c r="C1637" i="19"/>
  <c r="F1636" i="19"/>
  <c r="E1636" i="19"/>
  <c r="D1636" i="19"/>
  <c r="F1635" i="19"/>
  <c r="E1635" i="19"/>
  <c r="D1635" i="19"/>
  <c r="F1634" i="19"/>
  <c r="E1634" i="19"/>
  <c r="D1634" i="19"/>
  <c r="F1633" i="19"/>
  <c r="E1633" i="19"/>
  <c r="D1633" i="19"/>
  <c r="F1632" i="19"/>
  <c r="E1632" i="19"/>
  <c r="D1632" i="19"/>
  <c r="F1631" i="19"/>
  <c r="E1631" i="19"/>
  <c r="D1631" i="19"/>
  <c r="F1630" i="19"/>
  <c r="E1630" i="19"/>
  <c r="D1630" i="19"/>
  <c r="G1629" i="19"/>
  <c r="H1629" i="19" s="1"/>
  <c r="I1629" i="19" s="1"/>
  <c r="C1629" i="19" s="1"/>
  <c r="F1629" i="19"/>
  <c r="E1629" i="19"/>
  <c r="D1629" i="19"/>
  <c r="F1628" i="19"/>
  <c r="E1628" i="19"/>
  <c r="D1628" i="19"/>
  <c r="G1627" i="19"/>
  <c r="H1627" i="19" s="1"/>
  <c r="I1627" i="19" s="1"/>
  <c r="C1627" i="19" s="1"/>
  <c r="F1627" i="19"/>
  <c r="E1627" i="19"/>
  <c r="D1627" i="19"/>
  <c r="H1626" i="19"/>
  <c r="I1626" i="19" s="1"/>
  <c r="C1626" i="19" s="1"/>
  <c r="F1626" i="19"/>
  <c r="E1626" i="19"/>
  <c r="D1626" i="19"/>
  <c r="H1625" i="19"/>
  <c r="I1625" i="19" s="1"/>
  <c r="C1625" i="19" s="1"/>
  <c r="F1625" i="19"/>
  <c r="E1625" i="19"/>
  <c r="D1625" i="19"/>
  <c r="H1624" i="19"/>
  <c r="I1624" i="19" s="1"/>
  <c r="C1624" i="19" s="1"/>
  <c r="F1624" i="19"/>
  <c r="E1624" i="19"/>
  <c r="D1624" i="19"/>
  <c r="G1623" i="19"/>
  <c r="H1623" i="19" s="1"/>
  <c r="I1623" i="19" s="1"/>
  <c r="C1623" i="19" s="1"/>
  <c r="F1623" i="19"/>
  <c r="E1623" i="19"/>
  <c r="D1623" i="19"/>
  <c r="G1622" i="19"/>
  <c r="H1622" i="19" s="1"/>
  <c r="I1622" i="19" s="1"/>
  <c r="C1622" i="19" s="1"/>
  <c r="F1622" i="19"/>
  <c r="E1622" i="19"/>
  <c r="D1622" i="19"/>
  <c r="G1621" i="19"/>
  <c r="H1621" i="19" s="1"/>
  <c r="I1621" i="19" s="1"/>
  <c r="C1621" i="19" s="1"/>
  <c r="F1621" i="19"/>
  <c r="E1621" i="19"/>
  <c r="G1620" i="19"/>
  <c r="H1620" i="19" s="1"/>
  <c r="I1620" i="19" s="1"/>
  <c r="C1620" i="19" s="1"/>
  <c r="F1620" i="19"/>
  <c r="E1620" i="19"/>
  <c r="D1620" i="19"/>
  <c r="G1619" i="19"/>
  <c r="H1619" i="19" s="1"/>
  <c r="I1619" i="19" s="1"/>
  <c r="C1619" i="19" s="1"/>
  <c r="F1619" i="19"/>
  <c r="E1619" i="19"/>
  <c r="D1619" i="19"/>
  <c r="G1618" i="19"/>
  <c r="H1618" i="19" s="1"/>
  <c r="I1618" i="19" s="1"/>
  <c r="C1618" i="19" s="1"/>
  <c r="F1618" i="19"/>
  <c r="E1618" i="19"/>
  <c r="D1618" i="19"/>
  <c r="G1617" i="19"/>
  <c r="H1617" i="19" s="1"/>
  <c r="I1617" i="19" s="1"/>
  <c r="C1617" i="19" s="1"/>
  <c r="F1617" i="19"/>
  <c r="E1617" i="19"/>
  <c r="D1617" i="19"/>
  <c r="H1616" i="19"/>
  <c r="I1616" i="19" s="1"/>
  <c r="C1616" i="19" s="1"/>
  <c r="F1616" i="19"/>
  <c r="E1616" i="19"/>
  <c r="G1615" i="19"/>
  <c r="H1615" i="19" s="1"/>
  <c r="I1615" i="19" s="1"/>
  <c r="C1615" i="19" s="1"/>
  <c r="F1615" i="19"/>
  <c r="E1615" i="19"/>
  <c r="D1615" i="19"/>
  <c r="G1614" i="19"/>
  <c r="H1614" i="19" s="1"/>
  <c r="I1614" i="19" s="1"/>
  <c r="C1614" i="19" s="1"/>
  <c r="F1614" i="19"/>
  <c r="E1614" i="19"/>
  <c r="D1614" i="19"/>
  <c r="H1613" i="19"/>
  <c r="I1613" i="19" s="1"/>
  <c r="C1613" i="19" s="1"/>
  <c r="F1613" i="19"/>
  <c r="E1613" i="19"/>
  <c r="D1613" i="19"/>
  <c r="F1612" i="19"/>
  <c r="E1612" i="19"/>
  <c r="D1612" i="19"/>
  <c r="G1611" i="19"/>
  <c r="G1636" i="19" s="1"/>
  <c r="H1636" i="19" s="1"/>
  <c r="I1636" i="19" s="1"/>
  <c r="C1636" i="19" s="1"/>
  <c r="F1611" i="19"/>
  <c r="E1611" i="19"/>
  <c r="D1611" i="19"/>
  <c r="F1610" i="19"/>
  <c r="E1610" i="19"/>
  <c r="D1610" i="19"/>
  <c r="F1609" i="19"/>
  <c r="E1609" i="19"/>
  <c r="F1608" i="19"/>
  <c r="E1608" i="19"/>
  <c r="D1608" i="19"/>
  <c r="F1607" i="19"/>
  <c r="E1607" i="19"/>
  <c r="G1606" i="19"/>
  <c r="H1606" i="19" s="1"/>
  <c r="I1606" i="19" s="1"/>
  <c r="C1606" i="19" s="1"/>
  <c r="F1606" i="19"/>
  <c r="E1606" i="19"/>
  <c r="G1605" i="19"/>
  <c r="G1631" i="19" s="1"/>
  <c r="H1631" i="19" s="1"/>
  <c r="I1631" i="19" s="1"/>
  <c r="C1631" i="19" s="1"/>
  <c r="F1605" i="19"/>
  <c r="E1605" i="19"/>
  <c r="D1605" i="19"/>
  <c r="G1604" i="19"/>
  <c r="H1604" i="19" s="1"/>
  <c r="I1604" i="19" s="1"/>
  <c r="C1604" i="19" s="1"/>
  <c r="F1604" i="19"/>
  <c r="E1604" i="19"/>
  <c r="D1604" i="19"/>
  <c r="G1603" i="19"/>
  <c r="H1603" i="19" s="1"/>
  <c r="I1603" i="19" s="1"/>
  <c r="C1603" i="19" s="1"/>
  <c r="F1603" i="19"/>
  <c r="E1603" i="19"/>
  <c r="D1603" i="19"/>
  <c r="G1602" i="19"/>
  <c r="G1628" i="19" s="1"/>
  <c r="H1628" i="19" s="1"/>
  <c r="I1628" i="19" s="1"/>
  <c r="C1628" i="19" s="1"/>
  <c r="F1602" i="19"/>
  <c r="E1602" i="19"/>
  <c r="H1601" i="19"/>
  <c r="I1601" i="19" s="1"/>
  <c r="C1601" i="19" s="1"/>
  <c r="F1601" i="19"/>
  <c r="E1601" i="19"/>
  <c r="D1601" i="19"/>
  <c r="G1600" i="19"/>
  <c r="G1633" i="19" s="1"/>
  <c r="H1633" i="19" s="1"/>
  <c r="I1633" i="19" s="1"/>
  <c r="C1633" i="19" s="1"/>
  <c r="F1600" i="19"/>
  <c r="E1600" i="19"/>
  <c r="G1599" i="19"/>
  <c r="H1599" i="19" s="1"/>
  <c r="I1599" i="19" s="1"/>
  <c r="C1599" i="19" s="1"/>
  <c r="F1599" i="19"/>
  <c r="E1599" i="19"/>
  <c r="G1598" i="19"/>
  <c r="H1598" i="19" s="1"/>
  <c r="I1598" i="19" s="1"/>
  <c r="C1598" i="19" s="1"/>
  <c r="F1598" i="19"/>
  <c r="E1598" i="19"/>
  <c r="G1597" i="19"/>
  <c r="H1597" i="19" s="1"/>
  <c r="I1597" i="19" s="1"/>
  <c r="C1597" i="19" s="1"/>
  <c r="F1597" i="19"/>
  <c r="E1597" i="19"/>
  <c r="F1596" i="19"/>
  <c r="E1596" i="19"/>
  <c r="F1595" i="19"/>
  <c r="E1595" i="19"/>
  <c r="G1594" i="19"/>
  <c r="H1594" i="19" s="1"/>
  <c r="I1594" i="19" s="1"/>
  <c r="C1594" i="19" s="1"/>
  <c r="F1594" i="19"/>
  <c r="E1594" i="19"/>
  <c r="F1593" i="19"/>
  <c r="E1593" i="19"/>
  <c r="D1593" i="19"/>
  <c r="G1593" i="19" s="1"/>
  <c r="H1593" i="19" s="1"/>
  <c r="I1593" i="19" s="1"/>
  <c r="C1593" i="19" s="1"/>
  <c r="F1592" i="19"/>
  <c r="E1592" i="19"/>
  <c r="D1592" i="19"/>
  <c r="G1592" i="19" s="1"/>
  <c r="F1591" i="19"/>
  <c r="E1591" i="19"/>
  <c r="D1591" i="19"/>
  <c r="G1591" i="19" s="1"/>
  <c r="F1590" i="19"/>
  <c r="E1590" i="19"/>
  <c r="D1590" i="19"/>
  <c r="G1590" i="19" s="1"/>
  <c r="H1590" i="19" s="1"/>
  <c r="I1590" i="19" s="1"/>
  <c r="C1590" i="19" s="1"/>
  <c r="C1589" i="19"/>
  <c r="I1588" i="19"/>
  <c r="C1588" i="19" s="1"/>
  <c r="F1588" i="19"/>
  <c r="E1588" i="19"/>
  <c r="D1588" i="19"/>
  <c r="I1587" i="19"/>
  <c r="C1587" i="19" s="1"/>
  <c r="F1587" i="19"/>
  <c r="E1587" i="19"/>
  <c r="D1587" i="19"/>
  <c r="I1586" i="19"/>
  <c r="C1586" i="19" s="1"/>
  <c r="F1586" i="19"/>
  <c r="E1586" i="19"/>
  <c r="D1586" i="19"/>
  <c r="I1585" i="19"/>
  <c r="C1585" i="19" s="1"/>
  <c r="F1585" i="19"/>
  <c r="E1585" i="19"/>
  <c r="D1585" i="19"/>
  <c r="I1584" i="19"/>
  <c r="C1584" i="19" s="1"/>
  <c r="F1584" i="19"/>
  <c r="E1584" i="19"/>
  <c r="D1584" i="19"/>
  <c r="I1583" i="19"/>
  <c r="C1583" i="19" s="1"/>
  <c r="G1583" i="19"/>
  <c r="F1583" i="19"/>
  <c r="E1583" i="19"/>
  <c r="D1583" i="19"/>
  <c r="I1582" i="19"/>
  <c r="C1582" i="19" s="1"/>
  <c r="F1582" i="19"/>
  <c r="E1582" i="19"/>
  <c r="D1582" i="19"/>
  <c r="I1581" i="19"/>
  <c r="C1581" i="19" s="1"/>
  <c r="F1581" i="19"/>
  <c r="E1581" i="19"/>
  <c r="D1581" i="19"/>
  <c r="I1580" i="19"/>
  <c r="C1580" i="19" s="1"/>
  <c r="F1580" i="19"/>
  <c r="E1580" i="19"/>
  <c r="D1580" i="19"/>
  <c r="I1579" i="19"/>
  <c r="C1579" i="19" s="1"/>
  <c r="F1579" i="19"/>
  <c r="E1579" i="19"/>
  <c r="D1579" i="19"/>
  <c r="I1578" i="19"/>
  <c r="C1578" i="19" s="1"/>
  <c r="G1578" i="19"/>
  <c r="F1578" i="19"/>
  <c r="E1578" i="19"/>
  <c r="D1578" i="19"/>
  <c r="I1577" i="19"/>
  <c r="C1577" i="19" s="1"/>
  <c r="F1577" i="19"/>
  <c r="E1577" i="19"/>
  <c r="D1577" i="19"/>
  <c r="I1576" i="19"/>
  <c r="C1576" i="19" s="1"/>
  <c r="F1576" i="19"/>
  <c r="E1576" i="19"/>
  <c r="D1576" i="19"/>
  <c r="F1575" i="19"/>
  <c r="E1575" i="19"/>
  <c r="H1574" i="19"/>
  <c r="I1574" i="19" s="1"/>
  <c r="C1574" i="19" s="1"/>
  <c r="F1574" i="19"/>
  <c r="E1574" i="19"/>
  <c r="F1573" i="19"/>
  <c r="E1573" i="19"/>
  <c r="H1572" i="19"/>
  <c r="I1572" i="19" s="1"/>
  <c r="C1572" i="19" s="1"/>
  <c r="F1572" i="19"/>
  <c r="E1572" i="19"/>
  <c r="G1571" i="19"/>
  <c r="H1571" i="19" s="1"/>
  <c r="I1571" i="19" s="1"/>
  <c r="C1571" i="19" s="1"/>
  <c r="F1571" i="19"/>
  <c r="E1571" i="19"/>
  <c r="G1570" i="19"/>
  <c r="H1570" i="19" s="1"/>
  <c r="F1570" i="19"/>
  <c r="E1570" i="19"/>
  <c r="G1569" i="19"/>
  <c r="H1569" i="19" s="1"/>
  <c r="I1569" i="19" s="1"/>
  <c r="C1569" i="19" s="1"/>
  <c r="F1569" i="19"/>
  <c r="E1569" i="19"/>
  <c r="G1568" i="19"/>
  <c r="H1568" i="19" s="1"/>
  <c r="F1568" i="19"/>
  <c r="E1568" i="19"/>
  <c r="G1567" i="19"/>
  <c r="H1567" i="19" s="1"/>
  <c r="F1567" i="19"/>
  <c r="E1567" i="19"/>
  <c r="G1566" i="19"/>
  <c r="G1582" i="19" s="1"/>
  <c r="F1566" i="19"/>
  <c r="E1566" i="19"/>
  <c r="G1565" i="19"/>
  <c r="H1565" i="19" s="1"/>
  <c r="F1565" i="19"/>
  <c r="E1565" i="19"/>
  <c r="G1564" i="19"/>
  <c r="G1580" i="19" s="1"/>
  <c r="F1564" i="19"/>
  <c r="E1564" i="19"/>
  <c r="G1563" i="19"/>
  <c r="H1563" i="19" s="1"/>
  <c r="I1563" i="19" s="1"/>
  <c r="C1563" i="19" s="1"/>
  <c r="F1563" i="19"/>
  <c r="E1563" i="19"/>
  <c r="G1562" i="19"/>
  <c r="H1562" i="19" s="1"/>
  <c r="F1562" i="19"/>
  <c r="E1562" i="19"/>
  <c r="G1561" i="19"/>
  <c r="H1561" i="19" s="1"/>
  <c r="I1561" i="19" s="1"/>
  <c r="C1561" i="19" s="1"/>
  <c r="F1561" i="19"/>
  <c r="E1561" i="19"/>
  <c r="F1560" i="19"/>
  <c r="E1560" i="19"/>
  <c r="D1560" i="19"/>
  <c r="G1560" i="19" s="1"/>
  <c r="H1560" i="19" s="1"/>
  <c r="G1559" i="19"/>
  <c r="H1559" i="19" s="1"/>
  <c r="I1559" i="19" s="1"/>
  <c r="C1559" i="19" s="1"/>
  <c r="F1559" i="19"/>
  <c r="E1559" i="19"/>
  <c r="F1558" i="19"/>
  <c r="E1558" i="19"/>
  <c r="D1558" i="19"/>
  <c r="G1558" i="19" s="1"/>
  <c r="F1557" i="19"/>
  <c r="E1557" i="19"/>
  <c r="D1557" i="19"/>
  <c r="G1577" i="19" s="1"/>
  <c r="G1575" i="19" s="1"/>
  <c r="I1555" i="19"/>
  <c r="C1555" i="19" s="1"/>
  <c r="G1555" i="19"/>
  <c r="F1555" i="19"/>
  <c r="E1555" i="19"/>
  <c r="D1555" i="19"/>
  <c r="I1554" i="19"/>
  <c r="C1554" i="19" s="1"/>
  <c r="G1554" i="19"/>
  <c r="F1554" i="19"/>
  <c r="E1554" i="19"/>
  <c r="D1554" i="19"/>
  <c r="I1553" i="19"/>
  <c r="C1553" i="19" s="1"/>
  <c r="G1553" i="19"/>
  <c r="F1553" i="19"/>
  <c r="E1553" i="19"/>
  <c r="D1553" i="19"/>
  <c r="I1552" i="19"/>
  <c r="C1552" i="19" s="1"/>
  <c r="F1552" i="19"/>
  <c r="E1552" i="19"/>
  <c r="D1552" i="19"/>
  <c r="I1551" i="19"/>
  <c r="C1551" i="19" s="1"/>
  <c r="F1551" i="19"/>
  <c r="E1551" i="19"/>
  <c r="D1551" i="19"/>
  <c r="I1550" i="19"/>
  <c r="C1550" i="19" s="1"/>
  <c r="F1550" i="19"/>
  <c r="E1550" i="19"/>
  <c r="D1550" i="19"/>
  <c r="I1549" i="19"/>
  <c r="C1549" i="19" s="1"/>
  <c r="F1549" i="19"/>
  <c r="E1549" i="19"/>
  <c r="D1549" i="19"/>
  <c r="I1548" i="19"/>
  <c r="C1548" i="19" s="1"/>
  <c r="F1548" i="19"/>
  <c r="D1548" i="19"/>
  <c r="I1547" i="19"/>
  <c r="C1547" i="19" s="1"/>
  <c r="F1547" i="19"/>
  <c r="E1547" i="19"/>
  <c r="D1547" i="19"/>
  <c r="F1546" i="19"/>
  <c r="E1546" i="19"/>
  <c r="D1546" i="19"/>
  <c r="F1545" i="19"/>
  <c r="E1545" i="19"/>
  <c r="D1545" i="19"/>
  <c r="I1544" i="19"/>
  <c r="C1544" i="19" s="1"/>
  <c r="F1544" i="19"/>
  <c r="E1544" i="19"/>
  <c r="D1544" i="19"/>
  <c r="I1543" i="19"/>
  <c r="C1543" i="19" s="1"/>
  <c r="F1543" i="19"/>
  <c r="E1543" i="19"/>
  <c r="D1543" i="19"/>
  <c r="I1542" i="19"/>
  <c r="C1542" i="19" s="1"/>
  <c r="F1542" i="19"/>
  <c r="E1542" i="19"/>
  <c r="D1542" i="19"/>
  <c r="I1541" i="19"/>
  <c r="C1541" i="19" s="1"/>
  <c r="G1541" i="19"/>
  <c r="F1541" i="19"/>
  <c r="E1541" i="19"/>
  <c r="D1541" i="19"/>
  <c r="I1540" i="19"/>
  <c r="C1540" i="19" s="1"/>
  <c r="F1540" i="19"/>
  <c r="E1540" i="19"/>
  <c r="D1540" i="19"/>
  <c r="I1539" i="19"/>
  <c r="C1539" i="19" s="1"/>
  <c r="F1539" i="19"/>
  <c r="E1539" i="19"/>
  <c r="D1539" i="19"/>
  <c r="H1538" i="19"/>
  <c r="I1538" i="19" s="1"/>
  <c r="C1538" i="19" s="1"/>
  <c r="F1538" i="19"/>
  <c r="E1538" i="19"/>
  <c r="H1537" i="19"/>
  <c r="I1537" i="19" s="1"/>
  <c r="C1537" i="19" s="1"/>
  <c r="F1537" i="19"/>
  <c r="E1537" i="19"/>
  <c r="F1536" i="19"/>
  <c r="E1536" i="19"/>
  <c r="H1535" i="19"/>
  <c r="I1535" i="19" s="1"/>
  <c r="C1535" i="19" s="1"/>
  <c r="F1535" i="19"/>
  <c r="E1535" i="19"/>
  <c r="F1534" i="19"/>
  <c r="E1534" i="19"/>
  <c r="F1533" i="19"/>
  <c r="E1533" i="19"/>
  <c r="G1532" i="19"/>
  <c r="H1532" i="19" s="1"/>
  <c r="I1532" i="19" s="1"/>
  <c r="C1532" i="19" s="1"/>
  <c r="F1532" i="19"/>
  <c r="E1532" i="19"/>
  <c r="G1531" i="19"/>
  <c r="H1531" i="19" s="1"/>
  <c r="I1531" i="19" s="1"/>
  <c r="C1531" i="19" s="1"/>
  <c r="F1531" i="19"/>
  <c r="E1531" i="19"/>
  <c r="G1530" i="19"/>
  <c r="H1530" i="19" s="1"/>
  <c r="I1530" i="19" s="1"/>
  <c r="C1530" i="19" s="1"/>
  <c r="F1530" i="19"/>
  <c r="E1530" i="19"/>
  <c r="G1529" i="19"/>
  <c r="H1529" i="19" s="1"/>
  <c r="I1529" i="19" s="1"/>
  <c r="C1529" i="19" s="1"/>
  <c r="F1529" i="19"/>
  <c r="E1529" i="19"/>
  <c r="G1528" i="19"/>
  <c r="H1528" i="19" s="1"/>
  <c r="I1528" i="19" s="1"/>
  <c r="C1528" i="19" s="1"/>
  <c r="F1528" i="19"/>
  <c r="E1528" i="19"/>
  <c r="G1527" i="19"/>
  <c r="H1527" i="19" s="1"/>
  <c r="I1527" i="19" s="1"/>
  <c r="C1527" i="19" s="1"/>
  <c r="F1527" i="19"/>
  <c r="E1527" i="19"/>
  <c r="G1526" i="19"/>
  <c r="F1526" i="19"/>
  <c r="E1526" i="19"/>
  <c r="G1525" i="19"/>
  <c r="F1525" i="19"/>
  <c r="E1525" i="19"/>
  <c r="H1524" i="19"/>
  <c r="I1524" i="19" s="1"/>
  <c r="C1524" i="19" s="1"/>
  <c r="F1524" i="19"/>
  <c r="E1524" i="19"/>
  <c r="H1523" i="19"/>
  <c r="I1523" i="19" s="1"/>
  <c r="C1523" i="19" s="1"/>
  <c r="F1523" i="19"/>
  <c r="E1523" i="19"/>
  <c r="D1523" i="19"/>
  <c r="H1522" i="19"/>
  <c r="I1522" i="19" s="1"/>
  <c r="C1522" i="19" s="1"/>
  <c r="F1522" i="19"/>
  <c r="E1522" i="19"/>
  <c r="D1522" i="19"/>
  <c r="H1521" i="19"/>
  <c r="I1521" i="19" s="1"/>
  <c r="C1521" i="19" s="1"/>
  <c r="F1521" i="19"/>
  <c r="E1521" i="19"/>
  <c r="D1521" i="19"/>
  <c r="H1520" i="19"/>
  <c r="I1520" i="19" s="1"/>
  <c r="C1520" i="19" s="1"/>
  <c r="F1520" i="19"/>
  <c r="E1520" i="19"/>
  <c r="D1520" i="19"/>
  <c r="H1519" i="19"/>
  <c r="I1519" i="19" s="1"/>
  <c r="C1519" i="19" s="1"/>
  <c r="F1519" i="19"/>
  <c r="E1519" i="19"/>
  <c r="H1518" i="19"/>
  <c r="I1518" i="19" s="1"/>
  <c r="C1518" i="19" s="1"/>
  <c r="F1518" i="19"/>
  <c r="E1518" i="19"/>
  <c r="H1517" i="19"/>
  <c r="I1517" i="19" s="1"/>
  <c r="C1517" i="19" s="1"/>
  <c r="F1517" i="19"/>
  <c r="E1517" i="19"/>
  <c r="D1517" i="19"/>
  <c r="H1516" i="19"/>
  <c r="I1516" i="19" s="1"/>
  <c r="C1516" i="19" s="1"/>
  <c r="F1516" i="19"/>
  <c r="E1516" i="19"/>
  <c r="D1516" i="19"/>
  <c r="H1515" i="19"/>
  <c r="I1515" i="19" s="1"/>
  <c r="C1515" i="19" s="1"/>
  <c r="F1515" i="19"/>
  <c r="E1515" i="19"/>
  <c r="D1515" i="19"/>
  <c r="G1514" i="19"/>
  <c r="G1552" i="19" s="1"/>
  <c r="F1514" i="19"/>
  <c r="E1514" i="19"/>
  <c r="G1513" i="19"/>
  <c r="H1513" i="19" s="1"/>
  <c r="I1513" i="19" s="1"/>
  <c r="C1513" i="19" s="1"/>
  <c r="F1513" i="19"/>
  <c r="E1513" i="19"/>
  <c r="G1512" i="19"/>
  <c r="F1512" i="19"/>
  <c r="E1512" i="19"/>
  <c r="H1511" i="19"/>
  <c r="I1511" i="19" s="1"/>
  <c r="C1511" i="19" s="1"/>
  <c r="F1511" i="19"/>
  <c r="E1511" i="19"/>
  <c r="G1510" i="19"/>
  <c r="H1510" i="19" s="1"/>
  <c r="I1510" i="19" s="1"/>
  <c r="C1510" i="19" s="1"/>
  <c r="F1510" i="19"/>
  <c r="E1510" i="19"/>
  <c r="I1509" i="19"/>
  <c r="C1509" i="19" s="1"/>
  <c r="F1509" i="19"/>
  <c r="E1509" i="19"/>
  <c r="I1508" i="19"/>
  <c r="C1508" i="19" s="1"/>
  <c r="F1508" i="19"/>
  <c r="E1508" i="19"/>
  <c r="I1507" i="19"/>
  <c r="C1507" i="19" s="1"/>
  <c r="F1507" i="19"/>
  <c r="E1507" i="19"/>
  <c r="I1506" i="19"/>
  <c r="C1506" i="19" s="1"/>
  <c r="F1506" i="19"/>
  <c r="E1506" i="19"/>
  <c r="I1505" i="19"/>
  <c r="C1505" i="19" s="1"/>
  <c r="F1505" i="19"/>
  <c r="E1505" i="19"/>
  <c r="G1504" i="19"/>
  <c r="I1504" i="19" s="1"/>
  <c r="C1504" i="19" s="1"/>
  <c r="F1504" i="19"/>
  <c r="E1504" i="19"/>
  <c r="I1503" i="19"/>
  <c r="C1503" i="19" s="1"/>
  <c r="F1503" i="19"/>
  <c r="E1503" i="19"/>
  <c r="I1502" i="19"/>
  <c r="C1502" i="19" s="1"/>
  <c r="F1502" i="19"/>
  <c r="E1502" i="19"/>
  <c r="I1501" i="19"/>
  <c r="C1501" i="19" s="1"/>
  <c r="F1501" i="19"/>
  <c r="E1501" i="19"/>
  <c r="G1500" i="19"/>
  <c r="I1500" i="19" s="1"/>
  <c r="C1500" i="19" s="1"/>
  <c r="F1500" i="19"/>
  <c r="E1500" i="19"/>
  <c r="H1499" i="19"/>
  <c r="I1499" i="19" s="1"/>
  <c r="C1499" i="19" s="1"/>
  <c r="F1499" i="19"/>
  <c r="E1499" i="19"/>
  <c r="G1498" i="19"/>
  <c r="F1498" i="19"/>
  <c r="E1498" i="19"/>
  <c r="G1497" i="19"/>
  <c r="H1497" i="19" s="1"/>
  <c r="I1497" i="19" s="1"/>
  <c r="C1497" i="19" s="1"/>
  <c r="F1497" i="19"/>
  <c r="E1497" i="19"/>
  <c r="G1496" i="19"/>
  <c r="H1496" i="19" s="1"/>
  <c r="I1496" i="19" s="1"/>
  <c r="C1496" i="19" s="1"/>
  <c r="F1496" i="19"/>
  <c r="E1496" i="19"/>
  <c r="G1495" i="19"/>
  <c r="F1495" i="19"/>
  <c r="E1495" i="19"/>
  <c r="G1494" i="19"/>
  <c r="H1494" i="19" s="1"/>
  <c r="I1494" i="19" s="1"/>
  <c r="C1494" i="19" s="1"/>
  <c r="F1494" i="19"/>
  <c r="E1494" i="19"/>
  <c r="G1493" i="19"/>
  <c r="H1493" i="19" s="1"/>
  <c r="I1493" i="19" s="1"/>
  <c r="C1493" i="19" s="1"/>
  <c r="F1493" i="19"/>
  <c r="E1493" i="19"/>
  <c r="G1492" i="19"/>
  <c r="H1492" i="19" s="1"/>
  <c r="I1492" i="19" s="1"/>
  <c r="C1492" i="19" s="1"/>
  <c r="F1492" i="19"/>
  <c r="E1492" i="19"/>
  <c r="D1492" i="19"/>
  <c r="G1491" i="19"/>
  <c r="H1491" i="19" s="1"/>
  <c r="I1491" i="19" s="1"/>
  <c r="C1491" i="19" s="1"/>
  <c r="F1491" i="19"/>
  <c r="E1491" i="19"/>
  <c r="G1490" i="19"/>
  <c r="H1490" i="19" s="1"/>
  <c r="I1490" i="19" s="1"/>
  <c r="C1490" i="19" s="1"/>
  <c r="F1490" i="19"/>
  <c r="E1490" i="19"/>
  <c r="G1489" i="19"/>
  <c r="H1489" i="19" s="1"/>
  <c r="I1489" i="19" s="1"/>
  <c r="C1489" i="19" s="1"/>
  <c r="F1489" i="19"/>
  <c r="E1489" i="19"/>
  <c r="G1488" i="19"/>
  <c r="H1488" i="19" s="1"/>
  <c r="I1488" i="19" s="1"/>
  <c r="C1488" i="19" s="1"/>
  <c r="F1488" i="19"/>
  <c r="E1488" i="19"/>
  <c r="G1487" i="19"/>
  <c r="H1487" i="19" s="1"/>
  <c r="I1487" i="19" s="1"/>
  <c r="C1487" i="19" s="1"/>
  <c r="F1487" i="19"/>
  <c r="E1487" i="19"/>
  <c r="D1487" i="19"/>
  <c r="I1486" i="19"/>
  <c r="C1486" i="19" s="1"/>
  <c r="G1486" i="19"/>
  <c r="F1486" i="19"/>
  <c r="G1485" i="19"/>
  <c r="H1485" i="19" s="1"/>
  <c r="I1485" i="19" s="1"/>
  <c r="C1485" i="19" s="1"/>
  <c r="F1485" i="19"/>
  <c r="E1485" i="19"/>
  <c r="I1484" i="19"/>
  <c r="C1484" i="19" s="1"/>
  <c r="G1484" i="19"/>
  <c r="F1484" i="19"/>
  <c r="E1484" i="19"/>
  <c r="D1484" i="19"/>
  <c r="I1483" i="19"/>
  <c r="C1483" i="19" s="1"/>
  <c r="G1483" i="19"/>
  <c r="F1483" i="19"/>
  <c r="E1483" i="19"/>
  <c r="G1482" i="19"/>
  <c r="I1482" i="19" s="1"/>
  <c r="C1482" i="19" s="1"/>
  <c r="F1482" i="19"/>
  <c r="E1482" i="19"/>
  <c r="H1481" i="19"/>
  <c r="I1481" i="19" s="1"/>
  <c r="C1481" i="19" s="1"/>
  <c r="F1481" i="19"/>
  <c r="E1481" i="19"/>
  <c r="H1480" i="19"/>
  <c r="I1480" i="19" s="1"/>
  <c r="C1480" i="19" s="1"/>
  <c r="F1480" i="19"/>
  <c r="E1480" i="19"/>
  <c r="G1479" i="19"/>
  <c r="H1479" i="19" s="1"/>
  <c r="I1479" i="19" s="1"/>
  <c r="C1479" i="19" s="1"/>
  <c r="F1479" i="19"/>
  <c r="E1479" i="19"/>
  <c r="G1478" i="19"/>
  <c r="H1478" i="19" s="1"/>
  <c r="I1478" i="19" s="1"/>
  <c r="C1478" i="19" s="1"/>
  <c r="F1478" i="19"/>
  <c r="E1478" i="19"/>
  <c r="G1477" i="19"/>
  <c r="H1477" i="19" s="1"/>
  <c r="I1477" i="19" s="1"/>
  <c r="C1477" i="19" s="1"/>
  <c r="F1477" i="19"/>
  <c r="E1477" i="19"/>
  <c r="G1476" i="19"/>
  <c r="H1476" i="19" s="1"/>
  <c r="I1476" i="19" s="1"/>
  <c r="C1476" i="19" s="1"/>
  <c r="F1476" i="19"/>
  <c r="E1476" i="19"/>
  <c r="G1475" i="19"/>
  <c r="F1475" i="19"/>
  <c r="E1475" i="19"/>
  <c r="G1474" i="19"/>
  <c r="F1474" i="19"/>
  <c r="E1474" i="19"/>
  <c r="G1473" i="19"/>
  <c r="H1473" i="19" s="1"/>
  <c r="I1473" i="19" s="1"/>
  <c r="C1473" i="19" s="1"/>
  <c r="F1473" i="19"/>
  <c r="E1473" i="19"/>
  <c r="G1472" i="19"/>
  <c r="H1472" i="19" s="1"/>
  <c r="I1472" i="19" s="1"/>
  <c r="C1472" i="19" s="1"/>
  <c r="F1472" i="19"/>
  <c r="E1472" i="19"/>
  <c r="G1471" i="19"/>
  <c r="H1471" i="19" s="1"/>
  <c r="I1471" i="19" s="1"/>
  <c r="C1471" i="19" s="1"/>
  <c r="F1471" i="19"/>
  <c r="E1471" i="19"/>
  <c r="G1470" i="19"/>
  <c r="H1470" i="19" s="1"/>
  <c r="I1470" i="19" s="1"/>
  <c r="C1470" i="19" s="1"/>
  <c r="F1470" i="19"/>
  <c r="G1469" i="19"/>
  <c r="H1469" i="19" s="1"/>
  <c r="I1469" i="19" s="1"/>
  <c r="C1469" i="19" s="1"/>
  <c r="F1469" i="19"/>
  <c r="E1469" i="19"/>
  <c r="G1468" i="19"/>
  <c r="H1468" i="19" s="1"/>
  <c r="I1468" i="19" s="1"/>
  <c r="C1468" i="19" s="1"/>
  <c r="F1468" i="19"/>
  <c r="E1468" i="19"/>
  <c r="H1467" i="19"/>
  <c r="I1467" i="19" s="1"/>
  <c r="C1467" i="19" s="1"/>
  <c r="F1467" i="19"/>
  <c r="E1467" i="19"/>
  <c r="H1466" i="19"/>
  <c r="I1466" i="19" s="1"/>
  <c r="C1466" i="19" s="1"/>
  <c r="F1466" i="19"/>
  <c r="E1466" i="19"/>
  <c r="H1465" i="19"/>
  <c r="I1465" i="19" s="1"/>
  <c r="C1465" i="19" s="1"/>
  <c r="F1465" i="19"/>
  <c r="E1465" i="19"/>
  <c r="H1464" i="19"/>
  <c r="I1464" i="19" s="1"/>
  <c r="C1464" i="19" s="1"/>
  <c r="F1464" i="19"/>
  <c r="E1464" i="19"/>
  <c r="H1463" i="19"/>
  <c r="I1463" i="19" s="1"/>
  <c r="C1463" i="19" s="1"/>
  <c r="F1463" i="19"/>
  <c r="E1463" i="19"/>
  <c r="H1462" i="19"/>
  <c r="I1462" i="19" s="1"/>
  <c r="C1462" i="19" s="1"/>
  <c r="F1462" i="19"/>
  <c r="E1462" i="19"/>
  <c r="H1461" i="19"/>
  <c r="I1461" i="19" s="1"/>
  <c r="C1461" i="19" s="1"/>
  <c r="G1461" i="19"/>
  <c r="F1461" i="19"/>
  <c r="E1461" i="19"/>
  <c r="G1460" i="19"/>
  <c r="G1549" i="19" s="1"/>
  <c r="F1460" i="19"/>
  <c r="E1460" i="19"/>
  <c r="F1459" i="19"/>
  <c r="E1459" i="19"/>
  <c r="D1459" i="19"/>
  <c r="G1544" i="19" s="1"/>
  <c r="F1458" i="19"/>
  <c r="E1458" i="19"/>
  <c r="D1458" i="19"/>
  <c r="G1458" i="19" s="1"/>
  <c r="G1457" i="19"/>
  <c r="H1546" i="19" s="1"/>
  <c r="I1546" i="19" s="1"/>
  <c r="C1546" i="19" s="1"/>
  <c r="F1457" i="19"/>
  <c r="E1457" i="19"/>
  <c r="F1456" i="19"/>
  <c r="E1456" i="19"/>
  <c r="D1456" i="19"/>
  <c r="G1547" i="19" s="1"/>
  <c r="F1455" i="19"/>
  <c r="E1455" i="19"/>
  <c r="D1455" i="19"/>
  <c r="G1455" i="19" s="1"/>
  <c r="F1454" i="19"/>
  <c r="E1454" i="19"/>
  <c r="D1454" i="19"/>
  <c r="G1548" i="19" s="1"/>
  <c r="G1453" i="19"/>
  <c r="F1453" i="19"/>
  <c r="E1453" i="19"/>
  <c r="F1452" i="19"/>
  <c r="E1452" i="19"/>
  <c r="D1452" i="19"/>
  <c r="G1540" i="19" s="1"/>
  <c r="F1451" i="19"/>
  <c r="E1451" i="19"/>
  <c r="D1451" i="19"/>
  <c r="G1539" i="19" s="1"/>
  <c r="I1450" i="19"/>
  <c r="F1449" i="19"/>
  <c r="E1449" i="19"/>
  <c r="D1449" i="19"/>
  <c r="F1448" i="19"/>
  <c r="E1448" i="19"/>
  <c r="D1448" i="19"/>
  <c r="F1447" i="19"/>
  <c r="E1447" i="19"/>
  <c r="D1447" i="19"/>
  <c r="F1446" i="19"/>
  <c r="E1446" i="19"/>
  <c r="D1446" i="19"/>
  <c r="F1445" i="19"/>
  <c r="E1445" i="19"/>
  <c r="D1445" i="19"/>
  <c r="G1444" i="19"/>
  <c r="H1444" i="19" s="1"/>
  <c r="I1444" i="19" s="1"/>
  <c r="C1444" i="19" s="1"/>
  <c r="F1444" i="19"/>
  <c r="D1444" i="19"/>
  <c r="I1443" i="19"/>
  <c r="C1443" i="19" s="1"/>
  <c r="F1443" i="19"/>
  <c r="E1443" i="19"/>
  <c r="D1443" i="19"/>
  <c r="F1442" i="19"/>
  <c r="E1442" i="19"/>
  <c r="D1442" i="19"/>
  <c r="F1441" i="19"/>
  <c r="E1441" i="19"/>
  <c r="D1441" i="19"/>
  <c r="F1440" i="19"/>
  <c r="E1440" i="19"/>
  <c r="D1440" i="19"/>
  <c r="F1439" i="19"/>
  <c r="E1439" i="19"/>
  <c r="D1439" i="19"/>
  <c r="F1438" i="19"/>
  <c r="E1438" i="19"/>
  <c r="D1438" i="19"/>
  <c r="F1437" i="19"/>
  <c r="E1437" i="19"/>
  <c r="D1437" i="19"/>
  <c r="F1436" i="19"/>
  <c r="E1436" i="19"/>
  <c r="D1436" i="19"/>
  <c r="F1435" i="19"/>
  <c r="E1435" i="19"/>
  <c r="D1435" i="19"/>
  <c r="F1434" i="19"/>
  <c r="E1434" i="19"/>
  <c r="D1434" i="19"/>
  <c r="G1433" i="19"/>
  <c r="H1433" i="19" s="1"/>
  <c r="F1433" i="19"/>
  <c r="E1433" i="19"/>
  <c r="H1432" i="19"/>
  <c r="F1432" i="19"/>
  <c r="E1432" i="19"/>
  <c r="G1431" i="19"/>
  <c r="H1431" i="19" s="1"/>
  <c r="I1431" i="19" s="1"/>
  <c r="C1431" i="19" s="1"/>
  <c r="F1431" i="19"/>
  <c r="E1431" i="19"/>
  <c r="F1430" i="19"/>
  <c r="E1430" i="19"/>
  <c r="F1429" i="19"/>
  <c r="E1429" i="19"/>
  <c r="F1428" i="19"/>
  <c r="E1428" i="19"/>
  <c r="G1427" i="19"/>
  <c r="H1427" i="19" s="1"/>
  <c r="F1427" i="19"/>
  <c r="E1427" i="19"/>
  <c r="G1426" i="19"/>
  <c r="H1426" i="19" s="1"/>
  <c r="I1426" i="19" s="1"/>
  <c r="C1426" i="19" s="1"/>
  <c r="F1426" i="19"/>
  <c r="E1426" i="19"/>
  <c r="G1425" i="19"/>
  <c r="H1425" i="19" s="1"/>
  <c r="I1425" i="19" s="1"/>
  <c r="C1425" i="19" s="1"/>
  <c r="F1425" i="19"/>
  <c r="E1425" i="19"/>
  <c r="F1424" i="19"/>
  <c r="E1424" i="19"/>
  <c r="D1424" i="19"/>
  <c r="G1423" i="19"/>
  <c r="H1423" i="19" s="1"/>
  <c r="F1423" i="19"/>
  <c r="E1423" i="19"/>
  <c r="D1423" i="19"/>
  <c r="G1422" i="19"/>
  <c r="H1422" i="19" s="1"/>
  <c r="F1422" i="19"/>
  <c r="E1422" i="19"/>
  <c r="D1422" i="19"/>
  <c r="F1421" i="19"/>
  <c r="E1421" i="19"/>
  <c r="D1421" i="19"/>
  <c r="G1420" i="19"/>
  <c r="H1420" i="19" s="1"/>
  <c r="F1420" i="19"/>
  <c r="E1420" i="19"/>
  <c r="D1420" i="19"/>
  <c r="G1419" i="19"/>
  <c r="H1419" i="19" s="1"/>
  <c r="I1419" i="19" s="1"/>
  <c r="C1419" i="19" s="1"/>
  <c r="F1419" i="19"/>
  <c r="E1419" i="19"/>
  <c r="D1419" i="19"/>
  <c r="G1418" i="19"/>
  <c r="H1418" i="19" s="1"/>
  <c r="F1418" i="19"/>
  <c r="E1418" i="19"/>
  <c r="D1418" i="19"/>
  <c r="G1417" i="19"/>
  <c r="H1417" i="19" s="1"/>
  <c r="I1417" i="19" s="1"/>
  <c r="C1417" i="19" s="1"/>
  <c r="F1417" i="19"/>
  <c r="E1417" i="19"/>
  <c r="D1417" i="19"/>
  <c r="G1416" i="19"/>
  <c r="H1416" i="19" s="1"/>
  <c r="F1416" i="19"/>
  <c r="E1416" i="19"/>
  <c r="D1416" i="19"/>
  <c r="G1415" i="19"/>
  <c r="F1415" i="19"/>
  <c r="E1415" i="19"/>
  <c r="D1415" i="19"/>
  <c r="G1414" i="19"/>
  <c r="H1414" i="19" s="1"/>
  <c r="I1414" i="19" s="1"/>
  <c r="C1414" i="19" s="1"/>
  <c r="F1414" i="19"/>
  <c r="E1414" i="19"/>
  <c r="G1413" i="19"/>
  <c r="F1413" i="19"/>
  <c r="E1413" i="19"/>
  <c r="G1412" i="19"/>
  <c r="H1412" i="19" s="1"/>
  <c r="F1412" i="19"/>
  <c r="E1412" i="19"/>
  <c r="G1411" i="19"/>
  <c r="H1411" i="19" s="1"/>
  <c r="I1411" i="19" s="1"/>
  <c r="C1411" i="19" s="1"/>
  <c r="F1411" i="19"/>
  <c r="E1411" i="19"/>
  <c r="G1410" i="19"/>
  <c r="H1410" i="19" s="1"/>
  <c r="I1410" i="19" s="1"/>
  <c r="C1410" i="19" s="1"/>
  <c r="F1410" i="19"/>
  <c r="E1410" i="19"/>
  <c r="G1409" i="19"/>
  <c r="H1409" i="19" s="1"/>
  <c r="F1409" i="19"/>
  <c r="E1409" i="19"/>
  <c r="G1408" i="19"/>
  <c r="H1408" i="19" s="1"/>
  <c r="F1408" i="19"/>
  <c r="E1408" i="19"/>
  <c r="H1407" i="19"/>
  <c r="I1407" i="19" s="1"/>
  <c r="C1407" i="19" s="1"/>
  <c r="F1407" i="19"/>
  <c r="E1407" i="19"/>
  <c r="F1406" i="19"/>
  <c r="E1406" i="19"/>
  <c r="G1405" i="19"/>
  <c r="G1439" i="19" s="1"/>
  <c r="H1439" i="19" s="1"/>
  <c r="I1439" i="19" s="1"/>
  <c r="C1439" i="19" s="1"/>
  <c r="F1405" i="19"/>
  <c r="E1405" i="19"/>
  <c r="I1404" i="19"/>
  <c r="F1403" i="19"/>
  <c r="E1403" i="19"/>
  <c r="F1402" i="19"/>
  <c r="E1402" i="19"/>
  <c r="F1401" i="19"/>
  <c r="E1401" i="19"/>
  <c r="F1400" i="19"/>
  <c r="E1400" i="19"/>
  <c r="G1399" i="19"/>
  <c r="G1401" i="19" s="1"/>
  <c r="H1401" i="19" s="1"/>
  <c r="I1401" i="19" s="1"/>
  <c r="C1401" i="19" s="1"/>
  <c r="F1398" i="19"/>
  <c r="E1398" i="19"/>
  <c r="E1397" i="19"/>
  <c r="E1396" i="19"/>
  <c r="E1395" i="19"/>
  <c r="E1394" i="19"/>
  <c r="G1393" i="19"/>
  <c r="F1392" i="19"/>
  <c r="E1392" i="19"/>
  <c r="E1391" i="19"/>
  <c r="E1390" i="19"/>
  <c r="G1389" i="19"/>
  <c r="G1392" i="19" s="1"/>
  <c r="F1388" i="19"/>
  <c r="E1388" i="19"/>
  <c r="F1387" i="19"/>
  <c r="E1387" i="19"/>
  <c r="F1386" i="19"/>
  <c r="E1386" i="19"/>
  <c r="F1385" i="19"/>
  <c r="E1385" i="19"/>
  <c r="F1384" i="19"/>
  <c r="E1384" i="19"/>
  <c r="G1383" i="19"/>
  <c r="I1383" i="19" s="1"/>
  <c r="C1383" i="19" s="1"/>
  <c r="F1382" i="19"/>
  <c r="E1382" i="19"/>
  <c r="F1381" i="19"/>
  <c r="E1381" i="19"/>
  <c r="F1380" i="19"/>
  <c r="E1380" i="19"/>
  <c r="G1379" i="19"/>
  <c r="G1381" i="19" s="1"/>
  <c r="F1378" i="19"/>
  <c r="E1378" i="19"/>
  <c r="F1377" i="19"/>
  <c r="E1377" i="19"/>
  <c r="F1376" i="19"/>
  <c r="E1376" i="19"/>
  <c r="G1375" i="19"/>
  <c r="G1376" i="19" s="1"/>
  <c r="H1376" i="19" s="1"/>
  <c r="F1374" i="19"/>
  <c r="E1374" i="19"/>
  <c r="F1373" i="19"/>
  <c r="E1373" i="19"/>
  <c r="G1372" i="19"/>
  <c r="G1373" i="19" s="1"/>
  <c r="H1373" i="19" s="1"/>
  <c r="E1371" i="19"/>
  <c r="E1370" i="19"/>
  <c r="E1369" i="19"/>
  <c r="E1368" i="19"/>
  <c r="G1367" i="19"/>
  <c r="G1369" i="19" s="1"/>
  <c r="F1366" i="19"/>
  <c r="E1366" i="19"/>
  <c r="F1365" i="19"/>
  <c r="E1365" i="19"/>
  <c r="F1364" i="19"/>
  <c r="E1364" i="19"/>
  <c r="G1363" i="19"/>
  <c r="G1366" i="19" s="1"/>
  <c r="H1366" i="19" s="1"/>
  <c r="F1362" i="19"/>
  <c r="E1362" i="19"/>
  <c r="F1361" i="19"/>
  <c r="E1361" i="19"/>
  <c r="G1360" i="19"/>
  <c r="G1362" i="19" s="1"/>
  <c r="H1362" i="19" s="1"/>
  <c r="F1359" i="19"/>
  <c r="E1359" i="19"/>
  <c r="D1359" i="19"/>
  <c r="G1436" i="19" s="1"/>
  <c r="H1436" i="19" s="1"/>
  <c r="I1436" i="19" s="1"/>
  <c r="C1436" i="19" s="1"/>
  <c r="F1358" i="19"/>
  <c r="E1358" i="19"/>
  <c r="D1358" i="19"/>
  <c r="G1434" i="19" s="1"/>
  <c r="F1357" i="19"/>
  <c r="E1357" i="19"/>
  <c r="D1357" i="19"/>
  <c r="G1435" i="19" s="1"/>
  <c r="I1355" i="19"/>
  <c r="C1355" i="19" s="1"/>
  <c r="F1355" i="19"/>
  <c r="E1355" i="19"/>
  <c r="D1355" i="19"/>
  <c r="I1354" i="19"/>
  <c r="C1354" i="19" s="1"/>
  <c r="F1354" i="19"/>
  <c r="E1354" i="19"/>
  <c r="D1354" i="19"/>
  <c r="I1353" i="19"/>
  <c r="C1353" i="19" s="1"/>
  <c r="F1353" i="19"/>
  <c r="E1353" i="19"/>
  <c r="D1353" i="19"/>
  <c r="I1352" i="19"/>
  <c r="C1352" i="19" s="1"/>
  <c r="F1352" i="19"/>
  <c r="E1352" i="19"/>
  <c r="D1352" i="19"/>
  <c r="I1351" i="19"/>
  <c r="C1351" i="19" s="1"/>
  <c r="F1351" i="19"/>
  <c r="E1351" i="19"/>
  <c r="D1351" i="19"/>
  <c r="I1350" i="19"/>
  <c r="C1350" i="19" s="1"/>
  <c r="F1350" i="19"/>
  <c r="E1350" i="19"/>
  <c r="D1350" i="19"/>
  <c r="I1349" i="19"/>
  <c r="C1349" i="19" s="1"/>
  <c r="F1349" i="19"/>
  <c r="E1349" i="19"/>
  <c r="D1349" i="19"/>
  <c r="I1348" i="19"/>
  <c r="C1348" i="19" s="1"/>
  <c r="F1348" i="19"/>
  <c r="E1348" i="19"/>
  <c r="D1348" i="19"/>
  <c r="I1347" i="19"/>
  <c r="C1347" i="19" s="1"/>
  <c r="F1347" i="19"/>
  <c r="D1347" i="19"/>
  <c r="I1346" i="19"/>
  <c r="C1346" i="19" s="1"/>
  <c r="F1346" i="19"/>
  <c r="E1346" i="19"/>
  <c r="D1346" i="19"/>
  <c r="I1345" i="19"/>
  <c r="C1345" i="19" s="1"/>
  <c r="F1345" i="19"/>
  <c r="D1345" i="19"/>
  <c r="I1344" i="19"/>
  <c r="C1344" i="19" s="1"/>
  <c r="G1344" i="19"/>
  <c r="F1344" i="19"/>
  <c r="E1344" i="19"/>
  <c r="D1344" i="19"/>
  <c r="H1343" i="19"/>
  <c r="I1343" i="19" s="1"/>
  <c r="C1343" i="19" s="1"/>
  <c r="F1343" i="19"/>
  <c r="E1343" i="19"/>
  <c r="D1343" i="19"/>
  <c r="I1342" i="19"/>
  <c r="C1342" i="19" s="1"/>
  <c r="F1342" i="19"/>
  <c r="D1342" i="19"/>
  <c r="I1341" i="19"/>
  <c r="C1341" i="19" s="1"/>
  <c r="F1341" i="19"/>
  <c r="D1341" i="19"/>
  <c r="I1340" i="19"/>
  <c r="C1340" i="19" s="1"/>
  <c r="F1340" i="19"/>
  <c r="D1340" i="19"/>
  <c r="I1339" i="19"/>
  <c r="C1339" i="19" s="1"/>
  <c r="F1339" i="19"/>
  <c r="E1339" i="19"/>
  <c r="D1339" i="19"/>
  <c r="I1338" i="19"/>
  <c r="C1338" i="19" s="1"/>
  <c r="F1338" i="19"/>
  <c r="D1338" i="19"/>
  <c r="I1337" i="19"/>
  <c r="C1337" i="19" s="1"/>
  <c r="F1337" i="19"/>
  <c r="E1337" i="19"/>
  <c r="D1337" i="19"/>
  <c r="I1336" i="19"/>
  <c r="C1336" i="19" s="1"/>
  <c r="F1336" i="19"/>
  <c r="E1336" i="19"/>
  <c r="D1336" i="19"/>
  <c r="I1335" i="19"/>
  <c r="C1335" i="19" s="1"/>
  <c r="F1335" i="19"/>
  <c r="E1335" i="19"/>
  <c r="D1335" i="19"/>
  <c r="I1334" i="19"/>
  <c r="C1334" i="19" s="1"/>
  <c r="F1333" i="19"/>
  <c r="E1333" i="19"/>
  <c r="D1333" i="19"/>
  <c r="I1332" i="19"/>
  <c r="C1332" i="19" s="1"/>
  <c r="F1332" i="19"/>
  <c r="E1332" i="19"/>
  <c r="D1332" i="19"/>
  <c r="I1331" i="19"/>
  <c r="C1331" i="19" s="1"/>
  <c r="F1331" i="19"/>
  <c r="D1331" i="19"/>
  <c r="I1330" i="19"/>
  <c r="C1330" i="19" s="1"/>
  <c r="G1330" i="19"/>
  <c r="F1330" i="19"/>
  <c r="E1330" i="19"/>
  <c r="D1330" i="19"/>
  <c r="I1329" i="19"/>
  <c r="C1329" i="19" s="1"/>
  <c r="F1329" i="19"/>
  <c r="E1329" i="19"/>
  <c r="D1329" i="19"/>
  <c r="I1328" i="19"/>
  <c r="C1328" i="19" s="1"/>
  <c r="F1328" i="19"/>
  <c r="E1328" i="19"/>
  <c r="D1328" i="19"/>
  <c r="F1327" i="19"/>
  <c r="E1327" i="19"/>
  <c r="D1327" i="19"/>
  <c r="I1326" i="19"/>
  <c r="C1326" i="19" s="1"/>
  <c r="F1326" i="19"/>
  <c r="D1326" i="19"/>
  <c r="I1325" i="19"/>
  <c r="C1325" i="19" s="1"/>
  <c r="F1325" i="19"/>
  <c r="D1325" i="19"/>
  <c r="I1324" i="19"/>
  <c r="C1324" i="19" s="1"/>
  <c r="G1324" i="19"/>
  <c r="F1324" i="19"/>
  <c r="E1324" i="19"/>
  <c r="D1324" i="19"/>
  <c r="I1323" i="19"/>
  <c r="C1323" i="19" s="1"/>
  <c r="G1323" i="19"/>
  <c r="F1323" i="19"/>
  <c r="E1323" i="19"/>
  <c r="D1323" i="19"/>
  <c r="I1322" i="19"/>
  <c r="C1322" i="19" s="1"/>
  <c r="G1322" i="19"/>
  <c r="F1322" i="19"/>
  <c r="E1322" i="19"/>
  <c r="D1322" i="19"/>
  <c r="I1321" i="19"/>
  <c r="C1321" i="19" s="1"/>
  <c r="G1321" i="19"/>
  <c r="F1321" i="19"/>
  <c r="E1321" i="19"/>
  <c r="D1321" i="19"/>
  <c r="I1320" i="19"/>
  <c r="C1320" i="19" s="1"/>
  <c r="G1320" i="19"/>
  <c r="F1320" i="19"/>
  <c r="E1320" i="19"/>
  <c r="D1320" i="19"/>
  <c r="I1319" i="19"/>
  <c r="C1319" i="19" s="1"/>
  <c r="G1319" i="19"/>
  <c r="F1319" i="19"/>
  <c r="E1319" i="19"/>
  <c r="D1319" i="19"/>
  <c r="G1318" i="19"/>
  <c r="H1318" i="19" s="1"/>
  <c r="I1318" i="19" s="1"/>
  <c r="C1318" i="19" s="1"/>
  <c r="F1318" i="19"/>
  <c r="E1318" i="19"/>
  <c r="D1318" i="19"/>
  <c r="G1317" i="19"/>
  <c r="H1317" i="19" s="1"/>
  <c r="I1317" i="19" s="1"/>
  <c r="C1317" i="19" s="1"/>
  <c r="F1317" i="19"/>
  <c r="E1317" i="19"/>
  <c r="D1317" i="19"/>
  <c r="G1316" i="19"/>
  <c r="H1316" i="19" s="1"/>
  <c r="I1316" i="19" s="1"/>
  <c r="C1316" i="19" s="1"/>
  <c r="F1316" i="19"/>
  <c r="E1316" i="19"/>
  <c r="D1316" i="19"/>
  <c r="G1315" i="19"/>
  <c r="H1315" i="19" s="1"/>
  <c r="I1315" i="19" s="1"/>
  <c r="C1315" i="19" s="1"/>
  <c r="F1315" i="19"/>
  <c r="E1315" i="19"/>
  <c r="D1315" i="19"/>
  <c r="F1314" i="19"/>
  <c r="E1314" i="19"/>
  <c r="D1314" i="19"/>
  <c r="I1313" i="19"/>
  <c r="C1313" i="19" s="1"/>
  <c r="G1313" i="19"/>
  <c r="F1313" i="19"/>
  <c r="E1313" i="19"/>
  <c r="D1313" i="19"/>
  <c r="I1312" i="19"/>
  <c r="C1312" i="19" s="1"/>
  <c r="G1312" i="19"/>
  <c r="F1312" i="19"/>
  <c r="E1312" i="19"/>
  <c r="D1312" i="19"/>
  <c r="I1311" i="19"/>
  <c r="C1311" i="19" s="1"/>
  <c r="G1311" i="19"/>
  <c r="F1311" i="19"/>
  <c r="E1311" i="19"/>
  <c r="D1311" i="19"/>
  <c r="I1310" i="19"/>
  <c r="C1310" i="19" s="1"/>
  <c r="G1310" i="19"/>
  <c r="F1310" i="19"/>
  <c r="E1310" i="19"/>
  <c r="D1310" i="19"/>
  <c r="I1309" i="19"/>
  <c r="C1309" i="19" s="1"/>
  <c r="G1309" i="19"/>
  <c r="F1309" i="19"/>
  <c r="E1309" i="19"/>
  <c r="D1309" i="19"/>
  <c r="I1308" i="19"/>
  <c r="C1308" i="19" s="1"/>
  <c r="G1308" i="19"/>
  <c r="F1308" i="19"/>
  <c r="E1308" i="19"/>
  <c r="D1308" i="19"/>
  <c r="F1307" i="19"/>
  <c r="E1307" i="19"/>
  <c r="D1307" i="19"/>
  <c r="H1306" i="19"/>
  <c r="I1306" i="19" s="1"/>
  <c r="C1306" i="19" s="1"/>
  <c r="F1306" i="19"/>
  <c r="E1306" i="19"/>
  <c r="G1305" i="19"/>
  <c r="H1305" i="19" s="1"/>
  <c r="I1305" i="19" s="1"/>
  <c r="C1305" i="19" s="1"/>
  <c r="F1305" i="19"/>
  <c r="E1305" i="19"/>
  <c r="H1304" i="19"/>
  <c r="I1304" i="19" s="1"/>
  <c r="C1304" i="19" s="1"/>
  <c r="F1304" i="19"/>
  <c r="E1304" i="19"/>
  <c r="I1303" i="19"/>
  <c r="C1303" i="19" s="1"/>
  <c r="F1303" i="19"/>
  <c r="E1303" i="19"/>
  <c r="H1302" i="19"/>
  <c r="I1302" i="19" s="1"/>
  <c r="C1302" i="19" s="1"/>
  <c r="F1302" i="19"/>
  <c r="E1302" i="19"/>
  <c r="H1301" i="19"/>
  <c r="I1301" i="19" s="1"/>
  <c r="C1301" i="19" s="1"/>
  <c r="F1301" i="19"/>
  <c r="E1301" i="19"/>
  <c r="H1300" i="19"/>
  <c r="I1300" i="19" s="1"/>
  <c r="C1300" i="19" s="1"/>
  <c r="F1300" i="19"/>
  <c r="E1300" i="19"/>
  <c r="H1299" i="19"/>
  <c r="I1299" i="19" s="1"/>
  <c r="C1299" i="19" s="1"/>
  <c r="F1299" i="19"/>
  <c r="E1299" i="19"/>
  <c r="H1298" i="19"/>
  <c r="I1298" i="19" s="1"/>
  <c r="C1298" i="19" s="1"/>
  <c r="F1298" i="19"/>
  <c r="E1298" i="19"/>
  <c r="H1297" i="19"/>
  <c r="I1297" i="19" s="1"/>
  <c r="C1297" i="19" s="1"/>
  <c r="F1297" i="19"/>
  <c r="E1297" i="19"/>
  <c r="H1296" i="19"/>
  <c r="I1296" i="19" s="1"/>
  <c r="C1296" i="19" s="1"/>
  <c r="F1296" i="19"/>
  <c r="E1296" i="19"/>
  <c r="H1295" i="19"/>
  <c r="I1295" i="19" s="1"/>
  <c r="C1295" i="19" s="1"/>
  <c r="F1295" i="19"/>
  <c r="E1295" i="19"/>
  <c r="H1294" i="19"/>
  <c r="I1294" i="19" s="1"/>
  <c r="C1294" i="19" s="1"/>
  <c r="F1294" i="19"/>
  <c r="E1294" i="19"/>
  <c r="H1293" i="19"/>
  <c r="I1293" i="19" s="1"/>
  <c r="C1293" i="19" s="1"/>
  <c r="F1293" i="19"/>
  <c r="E1293" i="19"/>
  <c r="H1292" i="19"/>
  <c r="I1292" i="19" s="1"/>
  <c r="C1292" i="19" s="1"/>
  <c r="F1292" i="19"/>
  <c r="E1292" i="19"/>
  <c r="G1291" i="19"/>
  <c r="F1291" i="19"/>
  <c r="E1291" i="19"/>
  <c r="G1290" i="19"/>
  <c r="H1290" i="19" s="1"/>
  <c r="I1290" i="19" s="1"/>
  <c r="C1290" i="19" s="1"/>
  <c r="F1290" i="19"/>
  <c r="E1290" i="19"/>
  <c r="G1289" i="19"/>
  <c r="F1289" i="19"/>
  <c r="E1289" i="19"/>
  <c r="G1288" i="19"/>
  <c r="F1288" i="19"/>
  <c r="E1288" i="19"/>
  <c r="G1287" i="19"/>
  <c r="H1287" i="19" s="1"/>
  <c r="I1287" i="19" s="1"/>
  <c r="C1287" i="19" s="1"/>
  <c r="F1287" i="19"/>
  <c r="E1287" i="19"/>
  <c r="G1286" i="19"/>
  <c r="H1286" i="19" s="1"/>
  <c r="I1286" i="19" s="1"/>
  <c r="C1286" i="19" s="1"/>
  <c r="F1286" i="19"/>
  <c r="E1286" i="19"/>
  <c r="F1285" i="19"/>
  <c r="E1285" i="19"/>
  <c r="H1284" i="19"/>
  <c r="I1284" i="19" s="1"/>
  <c r="C1284" i="19" s="1"/>
  <c r="F1284" i="19"/>
  <c r="E1284" i="19"/>
  <c r="F1283" i="19"/>
  <c r="E1283" i="19"/>
  <c r="H1282" i="19"/>
  <c r="I1282" i="19" s="1"/>
  <c r="F1282" i="19"/>
  <c r="E1282" i="19"/>
  <c r="H1281" i="19"/>
  <c r="I1281" i="19" s="1"/>
  <c r="C1281" i="19" s="1"/>
  <c r="F1281" i="19"/>
  <c r="E1281" i="19"/>
  <c r="H1280" i="19"/>
  <c r="I1280" i="19" s="1"/>
  <c r="C1280" i="19" s="1"/>
  <c r="F1280" i="19"/>
  <c r="E1280" i="19"/>
  <c r="D1280" i="19"/>
  <c r="G1279" i="19"/>
  <c r="H1279" i="19" s="1"/>
  <c r="I1279" i="19" s="1"/>
  <c r="C1279" i="19" s="1"/>
  <c r="F1279" i="19"/>
  <c r="E1279" i="19"/>
  <c r="D1279" i="19"/>
  <c r="H1278" i="19"/>
  <c r="I1278" i="19" s="1"/>
  <c r="C1278" i="19" s="1"/>
  <c r="F1278" i="19"/>
  <c r="E1278" i="19"/>
  <c r="D1278" i="19"/>
  <c r="G1277" i="19"/>
  <c r="F1277" i="19"/>
  <c r="E1277" i="19"/>
  <c r="D1277" i="19"/>
  <c r="H1276" i="19"/>
  <c r="I1276" i="19" s="1"/>
  <c r="C1276" i="19" s="1"/>
  <c r="F1276" i="19"/>
  <c r="E1276" i="19"/>
  <c r="D1276" i="19"/>
  <c r="H1275" i="19"/>
  <c r="I1275" i="19" s="1"/>
  <c r="C1275" i="19" s="1"/>
  <c r="F1275" i="19"/>
  <c r="E1275" i="19"/>
  <c r="D1275" i="19"/>
  <c r="H1274" i="19"/>
  <c r="I1274" i="19" s="1"/>
  <c r="C1274" i="19" s="1"/>
  <c r="F1274" i="19"/>
  <c r="E1274" i="19"/>
  <c r="D1274" i="19"/>
  <c r="H1273" i="19"/>
  <c r="I1273" i="19" s="1"/>
  <c r="C1273" i="19" s="1"/>
  <c r="F1273" i="19"/>
  <c r="E1273" i="19"/>
  <c r="D1273" i="19"/>
  <c r="H1272" i="19"/>
  <c r="I1272" i="19" s="1"/>
  <c r="C1272" i="19" s="1"/>
  <c r="F1272" i="19"/>
  <c r="E1272" i="19"/>
  <c r="D1272" i="19"/>
  <c r="H1271" i="19"/>
  <c r="I1271" i="19" s="1"/>
  <c r="C1271" i="19" s="1"/>
  <c r="F1271" i="19"/>
  <c r="E1271" i="19"/>
  <c r="D1271" i="19"/>
  <c r="H1270" i="19"/>
  <c r="I1270" i="19" s="1"/>
  <c r="C1270" i="19" s="1"/>
  <c r="F1270" i="19"/>
  <c r="E1270" i="19"/>
  <c r="D1270" i="19"/>
  <c r="H1269" i="19"/>
  <c r="I1269" i="19" s="1"/>
  <c r="C1269" i="19" s="1"/>
  <c r="F1269" i="19"/>
  <c r="E1269" i="19"/>
  <c r="H1268" i="19"/>
  <c r="I1268" i="19" s="1"/>
  <c r="C1268" i="19" s="1"/>
  <c r="F1268" i="19"/>
  <c r="E1268" i="19"/>
  <c r="H1267" i="19"/>
  <c r="I1267" i="19" s="1"/>
  <c r="C1267" i="19" s="1"/>
  <c r="F1267" i="19"/>
  <c r="E1267" i="19"/>
  <c r="H1266" i="19"/>
  <c r="I1266" i="19" s="1"/>
  <c r="C1266" i="19" s="1"/>
  <c r="F1266" i="19"/>
  <c r="E1266" i="19"/>
  <c r="H1265" i="19"/>
  <c r="I1265" i="19" s="1"/>
  <c r="C1265" i="19" s="1"/>
  <c r="F1265" i="19"/>
  <c r="E1265" i="19"/>
  <c r="H1264" i="19"/>
  <c r="I1264" i="19" s="1"/>
  <c r="C1264" i="19" s="1"/>
  <c r="F1264" i="19"/>
  <c r="E1264" i="19"/>
  <c r="H1263" i="19"/>
  <c r="I1263" i="19" s="1"/>
  <c r="C1263" i="19" s="1"/>
  <c r="F1263" i="19"/>
  <c r="E1263" i="19"/>
  <c r="H1262" i="19"/>
  <c r="I1262" i="19" s="1"/>
  <c r="C1262" i="19" s="1"/>
  <c r="F1262" i="19"/>
  <c r="E1262" i="19"/>
  <c r="H1261" i="19"/>
  <c r="I1261" i="19" s="1"/>
  <c r="C1261" i="19" s="1"/>
  <c r="F1261" i="19"/>
  <c r="E1261" i="19"/>
  <c r="H1260" i="19"/>
  <c r="I1260" i="19" s="1"/>
  <c r="C1260" i="19" s="1"/>
  <c r="F1260" i="19"/>
  <c r="E1260" i="19"/>
  <c r="H1259" i="19"/>
  <c r="I1259" i="19" s="1"/>
  <c r="C1259" i="19" s="1"/>
  <c r="F1259" i="19"/>
  <c r="E1259" i="19"/>
  <c r="H1258" i="19"/>
  <c r="I1258" i="19" s="1"/>
  <c r="C1258" i="19" s="1"/>
  <c r="F1258" i="19"/>
  <c r="E1258" i="19"/>
  <c r="G1257" i="19"/>
  <c r="F1257" i="19"/>
  <c r="E1257" i="19"/>
  <c r="H1256" i="19"/>
  <c r="I1256" i="19" s="1"/>
  <c r="C1256" i="19" s="1"/>
  <c r="F1256" i="19"/>
  <c r="E1256" i="19"/>
  <c r="H1255" i="19"/>
  <c r="I1255" i="19" s="1"/>
  <c r="C1255" i="19" s="1"/>
  <c r="F1255" i="19"/>
  <c r="E1255" i="19"/>
  <c r="H1254" i="19"/>
  <c r="I1254" i="19" s="1"/>
  <c r="C1254" i="19" s="1"/>
  <c r="F1254" i="19"/>
  <c r="E1254" i="19"/>
  <c r="H1253" i="19"/>
  <c r="I1253" i="19" s="1"/>
  <c r="C1253" i="19" s="1"/>
  <c r="F1253" i="19"/>
  <c r="E1253" i="19"/>
  <c r="H1252" i="19"/>
  <c r="I1252" i="19" s="1"/>
  <c r="C1252" i="19" s="1"/>
  <c r="F1252" i="19"/>
  <c r="E1252" i="19"/>
  <c r="H1251" i="19"/>
  <c r="I1251" i="19" s="1"/>
  <c r="C1251" i="19" s="1"/>
  <c r="F1251" i="19"/>
  <c r="E1251" i="19"/>
  <c r="H1250" i="19"/>
  <c r="I1250" i="19" s="1"/>
  <c r="C1250" i="19" s="1"/>
  <c r="F1250" i="19"/>
  <c r="E1250" i="19"/>
  <c r="H1249" i="19"/>
  <c r="I1249" i="19" s="1"/>
  <c r="C1249" i="19" s="1"/>
  <c r="F1249" i="19"/>
  <c r="E1249" i="19"/>
  <c r="H1248" i="19"/>
  <c r="I1248" i="19" s="1"/>
  <c r="C1248" i="19" s="1"/>
  <c r="F1248" i="19"/>
  <c r="E1248" i="19"/>
  <c r="G1247" i="19"/>
  <c r="F1247" i="19"/>
  <c r="E1247" i="19"/>
  <c r="H1246" i="19"/>
  <c r="I1246" i="19" s="1"/>
  <c r="C1246" i="19" s="1"/>
  <c r="F1246" i="19"/>
  <c r="E1246" i="19"/>
  <c r="H1245" i="19"/>
  <c r="I1245" i="19" s="1"/>
  <c r="C1245" i="19" s="1"/>
  <c r="F1245" i="19"/>
  <c r="E1245" i="19"/>
  <c r="H1244" i="19"/>
  <c r="I1244" i="19" s="1"/>
  <c r="C1244" i="19" s="1"/>
  <c r="F1244" i="19"/>
  <c r="E1244" i="19"/>
  <c r="H1243" i="19"/>
  <c r="I1243" i="19" s="1"/>
  <c r="C1243" i="19" s="1"/>
  <c r="F1243" i="19"/>
  <c r="E1243" i="19"/>
  <c r="H1242" i="19"/>
  <c r="I1242" i="19" s="1"/>
  <c r="C1242" i="19" s="1"/>
  <c r="F1242" i="19"/>
  <c r="E1242" i="19"/>
  <c r="H1241" i="19"/>
  <c r="I1241" i="19" s="1"/>
  <c r="C1241" i="19" s="1"/>
  <c r="F1241" i="19"/>
  <c r="E1241" i="19"/>
  <c r="H1240" i="19"/>
  <c r="I1240" i="19" s="1"/>
  <c r="C1240" i="19" s="1"/>
  <c r="F1240" i="19"/>
  <c r="E1240" i="19"/>
  <c r="I1238" i="19"/>
  <c r="C1238" i="19" s="1"/>
  <c r="G1238" i="19"/>
  <c r="F1238" i="19"/>
  <c r="E1238" i="19"/>
  <c r="I1237" i="19"/>
  <c r="C1237" i="19" s="1"/>
  <c r="G1237" i="19"/>
  <c r="F1237" i="19"/>
  <c r="E1237" i="19"/>
  <c r="I1236" i="19"/>
  <c r="C1236" i="19" s="1"/>
  <c r="H1235" i="19"/>
  <c r="I1235" i="19" s="1"/>
  <c r="C1235" i="19" s="1"/>
  <c r="E1235" i="19"/>
  <c r="H1234" i="19"/>
  <c r="I1234" i="19" s="1"/>
  <c r="C1234" i="19" s="1"/>
  <c r="E1234" i="19"/>
  <c r="G1233" i="19"/>
  <c r="H1233" i="19" s="1"/>
  <c r="I1233" i="19" s="1"/>
  <c r="C1233" i="19" s="1"/>
  <c r="F1233" i="19"/>
  <c r="E1233" i="19"/>
  <c r="G1232" i="19"/>
  <c r="H1232" i="19" s="1"/>
  <c r="I1232" i="19" s="1"/>
  <c r="C1232" i="19" s="1"/>
  <c r="F1232" i="19"/>
  <c r="E1232" i="19"/>
  <c r="G1231" i="19"/>
  <c r="F1231" i="19"/>
  <c r="E1231" i="19"/>
  <c r="G1230" i="19"/>
  <c r="F1230" i="19"/>
  <c r="E1230" i="19"/>
  <c r="I1229" i="19"/>
  <c r="C1229" i="19" s="1"/>
  <c r="F1228" i="19"/>
  <c r="E1228" i="19"/>
  <c r="I1227" i="19"/>
  <c r="C1227" i="19" s="1"/>
  <c r="F1227" i="19"/>
  <c r="E1227" i="19"/>
  <c r="F1226" i="19"/>
  <c r="E1226" i="19"/>
  <c r="F1225" i="19"/>
  <c r="E1225" i="19"/>
  <c r="F1224" i="19"/>
  <c r="E1224" i="19"/>
  <c r="G1223" i="19"/>
  <c r="G1333" i="19" s="1"/>
  <c r="H1333" i="19" s="1"/>
  <c r="I1333" i="19" s="1"/>
  <c r="C1333" i="19" s="1"/>
  <c r="G1222" i="19"/>
  <c r="F1222" i="19"/>
  <c r="E1222" i="19"/>
  <c r="H1221" i="19"/>
  <c r="I1221" i="19" s="1"/>
  <c r="C1221" i="19" s="1"/>
  <c r="F1221" i="19"/>
  <c r="E1221" i="19"/>
  <c r="I1220" i="19"/>
  <c r="C1220" i="19" s="1"/>
  <c r="G1219" i="19"/>
  <c r="F1219" i="19"/>
  <c r="E1219" i="19"/>
  <c r="G1218" i="19"/>
  <c r="F1218" i="19"/>
  <c r="E1218" i="19"/>
  <c r="G1217" i="19"/>
  <c r="H1217" i="19" s="1"/>
  <c r="I1217" i="19" s="1"/>
  <c r="C1217" i="19" s="1"/>
  <c r="F1217" i="19"/>
  <c r="E1217" i="19"/>
  <c r="G1216" i="19"/>
  <c r="H1216" i="19" s="1"/>
  <c r="I1216" i="19" s="1"/>
  <c r="C1216" i="19" s="1"/>
  <c r="F1216" i="19"/>
  <c r="E1216" i="19"/>
  <c r="G1215" i="19"/>
  <c r="F1215" i="19"/>
  <c r="E1215" i="19"/>
  <c r="I1214" i="19"/>
  <c r="C1214" i="19" s="1"/>
  <c r="H1213" i="19"/>
  <c r="I1213" i="19" s="1"/>
  <c r="C1213" i="19" s="1"/>
  <c r="F1213" i="19"/>
  <c r="E1213" i="19"/>
  <c r="G1212" i="19"/>
  <c r="H1212" i="19" s="1"/>
  <c r="I1212" i="19" s="1"/>
  <c r="C1212" i="19" s="1"/>
  <c r="F1212" i="19"/>
  <c r="E1212" i="19"/>
  <c r="G1211" i="19"/>
  <c r="F1211" i="19"/>
  <c r="E1211" i="19"/>
  <c r="I1210" i="19"/>
  <c r="C1210" i="19" s="1"/>
  <c r="F1209" i="19"/>
  <c r="E1209" i="19"/>
  <c r="F1208" i="19"/>
  <c r="E1208" i="19"/>
  <c r="F1207" i="19"/>
  <c r="E1207" i="19"/>
  <c r="G1206" i="19"/>
  <c r="G1329" i="19" s="1"/>
  <c r="F1205" i="19"/>
  <c r="E1205" i="19"/>
  <c r="F1204" i="19"/>
  <c r="E1204" i="19"/>
  <c r="G1203" i="19"/>
  <c r="G1204" i="19" s="1"/>
  <c r="H1204" i="19" s="1"/>
  <c r="I1204" i="19" s="1"/>
  <c r="C1204" i="19" s="1"/>
  <c r="G1202" i="19"/>
  <c r="H1202" i="19" s="1"/>
  <c r="I1202" i="19" s="1"/>
  <c r="C1202" i="19" s="1"/>
  <c r="F1202" i="19"/>
  <c r="E1202" i="19"/>
  <c r="G1201" i="19"/>
  <c r="F1201" i="19"/>
  <c r="E1201" i="19"/>
  <c r="G1200" i="19"/>
  <c r="H1200" i="19" s="1"/>
  <c r="I1200" i="19" s="1"/>
  <c r="C1200" i="19" s="1"/>
  <c r="F1200" i="19"/>
  <c r="E1200" i="19"/>
  <c r="I1199" i="19"/>
  <c r="C1199" i="19" s="1"/>
  <c r="G1198" i="19"/>
  <c r="H1198" i="19" s="1"/>
  <c r="I1198" i="19" s="1"/>
  <c r="C1198" i="19" s="1"/>
  <c r="F1198" i="19"/>
  <c r="E1198" i="19"/>
  <c r="G1197" i="19"/>
  <c r="F1197" i="19"/>
  <c r="E1197" i="19"/>
  <c r="G1196" i="19"/>
  <c r="F1196" i="19"/>
  <c r="E1196" i="19"/>
  <c r="I1195" i="19"/>
  <c r="C1195" i="19" s="1"/>
  <c r="F1194" i="19"/>
  <c r="E1194" i="19"/>
  <c r="F1193" i="19"/>
  <c r="E1193" i="19"/>
  <c r="F1192" i="19"/>
  <c r="E1192" i="19"/>
  <c r="G1191" i="19"/>
  <c r="G1190" i="19"/>
  <c r="F1190" i="19"/>
  <c r="E1190" i="19"/>
  <c r="G1189" i="19"/>
  <c r="F1189" i="19"/>
  <c r="E1189" i="19"/>
  <c r="G1188" i="19"/>
  <c r="F1188" i="19"/>
  <c r="E1188" i="19"/>
  <c r="I1187" i="19"/>
  <c r="C1187" i="19" s="1"/>
  <c r="G1186" i="19"/>
  <c r="H1186" i="19" s="1"/>
  <c r="I1186" i="19" s="1"/>
  <c r="C1186" i="19" s="1"/>
  <c r="F1186" i="19"/>
  <c r="E1186" i="19"/>
  <c r="G1185" i="19"/>
  <c r="H1185" i="19" s="1"/>
  <c r="I1185" i="19" s="1"/>
  <c r="C1185" i="19" s="1"/>
  <c r="F1185" i="19"/>
  <c r="E1185" i="19"/>
  <c r="I1184" i="19"/>
  <c r="C1184" i="19" s="1"/>
  <c r="G1183" i="19"/>
  <c r="F1183" i="19"/>
  <c r="E1183" i="19"/>
  <c r="G1182" i="19"/>
  <c r="H1182" i="19" s="1"/>
  <c r="I1182" i="19" s="1"/>
  <c r="C1182" i="19" s="1"/>
  <c r="F1182" i="19"/>
  <c r="E1182" i="19"/>
  <c r="I1181" i="19"/>
  <c r="C1181" i="19" s="1"/>
  <c r="F1180" i="19"/>
  <c r="E1180" i="19"/>
  <c r="F1179" i="19"/>
  <c r="E1179" i="19"/>
  <c r="G1178" i="19"/>
  <c r="G1179" i="19" s="1"/>
  <c r="G1177" i="19"/>
  <c r="H1177" i="19" s="1"/>
  <c r="I1177" i="19" s="1"/>
  <c r="C1177" i="19" s="1"/>
  <c r="F1177" i="19"/>
  <c r="E1177" i="19"/>
  <c r="G1176" i="19"/>
  <c r="F1176" i="19"/>
  <c r="E1176" i="19"/>
  <c r="G1175" i="19"/>
  <c r="H1175" i="19" s="1"/>
  <c r="I1175" i="19" s="1"/>
  <c r="C1175" i="19" s="1"/>
  <c r="E1175" i="19"/>
  <c r="G1174" i="19"/>
  <c r="H1174" i="19" s="1"/>
  <c r="I1174" i="19" s="1"/>
  <c r="C1174" i="19" s="1"/>
  <c r="E1174" i="19"/>
  <c r="G1173" i="19"/>
  <c r="F1173" i="19"/>
  <c r="E1173" i="19"/>
  <c r="G1172" i="19"/>
  <c r="F1172" i="19"/>
  <c r="E1172" i="19"/>
  <c r="G1171" i="19"/>
  <c r="H1171" i="19" s="1"/>
  <c r="I1171" i="19" s="1"/>
  <c r="C1171" i="19" s="1"/>
  <c r="F1171" i="19"/>
  <c r="E1171" i="19"/>
  <c r="G1170" i="19"/>
  <c r="F1170" i="19"/>
  <c r="E1170" i="19"/>
  <c r="G1169" i="19"/>
  <c r="H1169" i="19" s="1"/>
  <c r="I1169" i="19" s="1"/>
  <c r="C1169" i="19" s="1"/>
  <c r="F1169" i="19"/>
  <c r="E1169" i="19"/>
  <c r="G1168" i="19"/>
  <c r="H1168" i="19" s="1"/>
  <c r="I1168" i="19" s="1"/>
  <c r="C1168" i="19" s="1"/>
  <c r="F1168" i="19"/>
  <c r="E1168" i="19"/>
  <c r="G1167" i="19"/>
  <c r="H1167" i="19" s="1"/>
  <c r="I1167" i="19" s="1"/>
  <c r="C1167" i="19" s="1"/>
  <c r="F1167" i="19"/>
  <c r="E1167" i="19"/>
  <c r="F1166" i="19"/>
  <c r="E1166" i="19"/>
  <c r="D1166" i="19"/>
  <c r="G1314" i="19" s="1"/>
  <c r="H1314" i="19" s="1"/>
  <c r="I1314" i="19" s="1"/>
  <c r="C1314" i="19" s="1"/>
  <c r="F1165" i="19"/>
  <c r="E1165" i="19"/>
  <c r="D1165" i="19"/>
  <c r="G1165" i="19" s="1"/>
  <c r="G1164" i="19"/>
  <c r="F1164" i="19"/>
  <c r="E1164" i="19"/>
  <c r="G1163" i="19"/>
  <c r="F1163" i="19"/>
  <c r="E1163" i="19"/>
  <c r="G1162" i="19"/>
  <c r="F1162" i="19"/>
  <c r="E1162" i="19"/>
  <c r="G1161" i="19"/>
  <c r="H1161" i="19" s="1"/>
  <c r="I1161" i="19" s="1"/>
  <c r="C1161" i="19" s="1"/>
  <c r="F1161" i="19"/>
  <c r="E1161" i="19"/>
  <c r="G1160" i="19"/>
  <c r="F1160" i="19"/>
  <c r="E1160" i="19"/>
  <c r="G1159" i="19"/>
  <c r="F1159" i="19"/>
  <c r="E1159" i="19"/>
  <c r="I1158" i="19"/>
  <c r="I1157" i="19"/>
  <c r="C1157" i="19" s="1"/>
  <c r="F1157" i="19"/>
  <c r="E1157" i="19"/>
  <c r="D1157" i="19"/>
  <c r="I1156" i="19"/>
  <c r="C1156" i="19" s="1"/>
  <c r="F1156" i="19"/>
  <c r="E1156" i="19"/>
  <c r="D1156" i="19"/>
  <c r="I1155" i="19"/>
  <c r="C1155" i="19" s="1"/>
  <c r="F1155" i="19"/>
  <c r="E1155" i="19"/>
  <c r="D1155" i="19"/>
  <c r="I1154" i="19"/>
  <c r="C1154" i="19" s="1"/>
  <c r="G1154" i="19"/>
  <c r="F1154" i="19"/>
  <c r="E1154" i="19"/>
  <c r="D1154" i="19"/>
  <c r="I1153" i="19"/>
  <c r="C1153" i="19" s="1"/>
  <c r="G1153" i="19"/>
  <c r="F1153" i="19"/>
  <c r="E1153" i="19"/>
  <c r="D1153" i="19"/>
  <c r="I1152" i="19"/>
  <c r="C1152" i="19" s="1"/>
  <c r="G1152" i="19"/>
  <c r="F1152" i="19"/>
  <c r="E1152" i="19"/>
  <c r="D1152" i="19"/>
  <c r="I1151" i="19"/>
  <c r="C1151" i="19" s="1"/>
  <c r="F1151" i="19"/>
  <c r="E1151" i="19"/>
  <c r="D1151" i="19"/>
  <c r="I1150" i="19"/>
  <c r="C1150" i="19" s="1"/>
  <c r="F1150" i="19"/>
  <c r="E1150" i="19"/>
  <c r="D1150" i="19"/>
  <c r="I1149" i="19"/>
  <c r="C1149" i="19" s="1"/>
  <c r="F1149" i="19"/>
  <c r="E1149" i="19"/>
  <c r="D1149" i="19"/>
  <c r="I1148" i="19"/>
  <c r="C1148" i="19" s="1"/>
  <c r="F1148" i="19"/>
  <c r="E1148" i="19"/>
  <c r="D1148" i="19"/>
  <c r="I1147" i="19"/>
  <c r="C1147" i="19" s="1"/>
  <c r="F1147" i="19"/>
  <c r="E1147" i="19"/>
  <c r="D1147" i="19"/>
  <c r="I1146" i="19"/>
  <c r="C1146" i="19" s="1"/>
  <c r="F1146" i="19"/>
  <c r="E1146" i="19"/>
  <c r="D1146" i="19"/>
  <c r="I1145" i="19"/>
  <c r="C1145" i="19" s="1"/>
  <c r="F1145" i="19"/>
  <c r="E1145" i="19"/>
  <c r="D1145" i="19"/>
  <c r="I1144" i="19"/>
  <c r="C1144" i="19" s="1"/>
  <c r="F1144" i="19"/>
  <c r="E1144" i="19"/>
  <c r="D1144" i="19"/>
  <c r="I1143" i="19"/>
  <c r="C1143" i="19" s="1"/>
  <c r="G1143" i="19"/>
  <c r="F1143" i="19"/>
  <c r="E1143" i="19"/>
  <c r="D1143" i="19"/>
  <c r="I1142" i="19"/>
  <c r="C1142" i="19" s="1"/>
  <c r="F1142" i="19"/>
  <c r="E1142" i="19"/>
  <c r="D1142" i="19"/>
  <c r="I1141" i="19"/>
  <c r="C1141" i="19" s="1"/>
  <c r="F1141" i="19"/>
  <c r="E1141" i="19"/>
  <c r="D1141" i="19"/>
  <c r="I1140" i="19"/>
  <c r="C1140" i="19" s="1"/>
  <c r="F1140" i="19"/>
  <c r="E1140" i="19"/>
  <c r="D1140" i="19"/>
  <c r="I1139" i="19"/>
  <c r="C1139" i="19" s="1"/>
  <c r="F1139" i="19"/>
  <c r="E1139" i="19"/>
  <c r="D1139" i="19"/>
  <c r="I1138" i="19"/>
  <c r="C1138" i="19" s="1"/>
  <c r="F1138" i="19"/>
  <c r="E1138" i="19"/>
  <c r="D1138" i="19"/>
  <c r="I1137" i="19"/>
  <c r="C1137" i="19" s="1"/>
  <c r="F1137" i="19"/>
  <c r="E1137" i="19"/>
  <c r="D1137" i="19"/>
  <c r="I1136" i="19"/>
  <c r="C1136" i="19" s="1"/>
  <c r="F1136" i="19"/>
  <c r="E1136" i="19"/>
  <c r="D1136" i="19"/>
  <c r="I1135" i="19"/>
  <c r="C1135" i="19" s="1"/>
  <c r="F1135" i="19"/>
  <c r="E1135" i="19"/>
  <c r="D1135" i="19"/>
  <c r="I1134" i="19"/>
  <c r="C1134" i="19" s="1"/>
  <c r="F1134" i="19"/>
  <c r="E1134" i="19"/>
  <c r="D1134" i="19"/>
  <c r="I1133" i="19"/>
  <c r="C1133" i="19" s="1"/>
  <c r="F1133" i="19"/>
  <c r="E1133" i="19"/>
  <c r="D1133" i="19"/>
  <c r="I1132" i="19"/>
  <c r="C1132" i="19" s="1"/>
  <c r="F1132" i="19"/>
  <c r="E1132" i="19"/>
  <c r="D1132" i="19"/>
  <c r="F1131" i="19"/>
  <c r="E1131" i="19"/>
  <c r="F1130" i="19"/>
  <c r="E1130" i="19"/>
  <c r="G1129" i="19"/>
  <c r="H1129" i="19" s="1"/>
  <c r="F1129" i="19"/>
  <c r="E1129" i="19"/>
  <c r="F1128" i="19"/>
  <c r="E1128" i="19"/>
  <c r="F1127" i="19"/>
  <c r="E1127" i="19"/>
  <c r="F1126" i="19"/>
  <c r="E1126" i="19"/>
  <c r="F1125" i="19"/>
  <c r="E1125" i="19"/>
  <c r="F1124" i="19"/>
  <c r="E1124" i="19"/>
  <c r="F1123" i="19"/>
  <c r="E1123" i="19"/>
  <c r="F1122" i="19"/>
  <c r="E1122" i="19"/>
  <c r="F1121" i="19"/>
  <c r="E1121" i="19"/>
  <c r="F1120" i="19"/>
  <c r="E1120" i="19"/>
  <c r="F1119" i="19"/>
  <c r="E1119" i="19"/>
  <c r="D1119" i="19"/>
  <c r="G1118" i="19"/>
  <c r="H1118" i="19" s="1"/>
  <c r="I1118" i="19" s="1"/>
  <c r="C1118" i="19" s="1"/>
  <c r="F1118" i="19"/>
  <c r="E1118" i="19"/>
  <c r="D1118" i="19"/>
  <c r="F1117" i="19"/>
  <c r="E1117" i="19"/>
  <c r="D1117" i="19"/>
  <c r="G1116" i="19"/>
  <c r="H1116" i="19" s="1"/>
  <c r="I1116" i="19" s="1"/>
  <c r="C1116" i="19" s="1"/>
  <c r="F1116" i="19"/>
  <c r="E1116" i="19"/>
  <c r="D1116" i="19"/>
  <c r="H1115" i="19"/>
  <c r="I1115" i="19" s="1"/>
  <c r="C1115" i="19" s="1"/>
  <c r="F1115" i="19"/>
  <c r="E1115" i="19"/>
  <c r="D1115" i="19"/>
  <c r="G1114" i="19"/>
  <c r="F1114" i="19"/>
  <c r="E1114" i="19"/>
  <c r="D1114" i="19"/>
  <c r="G1113" i="19"/>
  <c r="H1113" i="19" s="1"/>
  <c r="I1113" i="19" s="1"/>
  <c r="C1113" i="19" s="1"/>
  <c r="F1113" i="19"/>
  <c r="E1113" i="19"/>
  <c r="D1113" i="19"/>
  <c r="G1112" i="19"/>
  <c r="F1112" i="19"/>
  <c r="E1112" i="19"/>
  <c r="D1112" i="19"/>
  <c r="H1111" i="19"/>
  <c r="I1111" i="19" s="1"/>
  <c r="C1111" i="19" s="1"/>
  <c r="F1111" i="19"/>
  <c r="E1111" i="19"/>
  <c r="D1111" i="19"/>
  <c r="G1110" i="19"/>
  <c r="H1110" i="19" s="1"/>
  <c r="I1110" i="19" s="1"/>
  <c r="C1110" i="19" s="1"/>
  <c r="F1110" i="19"/>
  <c r="E1110" i="19"/>
  <c r="G1109" i="19"/>
  <c r="H1109" i="19" s="1"/>
  <c r="I1109" i="19" s="1"/>
  <c r="C1109" i="19" s="1"/>
  <c r="F1109" i="19"/>
  <c r="E1109" i="19"/>
  <c r="G1108" i="19"/>
  <c r="H1108" i="19" s="1"/>
  <c r="I1108" i="19" s="1"/>
  <c r="C1108" i="19" s="1"/>
  <c r="F1108" i="19"/>
  <c r="E1108" i="19"/>
  <c r="H1107" i="19"/>
  <c r="I1107" i="19" s="1"/>
  <c r="C1107" i="19" s="1"/>
  <c r="F1107" i="19"/>
  <c r="E1107" i="19"/>
  <c r="G1106" i="19"/>
  <c r="H1106" i="19" s="1"/>
  <c r="I1106" i="19" s="1"/>
  <c r="C1106" i="19" s="1"/>
  <c r="F1106" i="19"/>
  <c r="E1106" i="19"/>
  <c r="G1105" i="19"/>
  <c r="H1105" i="19" s="1"/>
  <c r="I1105" i="19" s="1"/>
  <c r="C1105" i="19" s="1"/>
  <c r="F1105" i="19"/>
  <c r="E1105" i="19"/>
  <c r="G1104" i="19"/>
  <c r="H1104" i="19" s="1"/>
  <c r="I1104" i="19" s="1"/>
  <c r="C1104" i="19" s="1"/>
  <c r="F1104" i="19"/>
  <c r="E1104" i="19"/>
  <c r="H1103" i="19"/>
  <c r="I1103" i="19" s="1"/>
  <c r="C1103" i="19" s="1"/>
  <c r="F1103" i="19"/>
  <c r="E1103" i="19"/>
  <c r="H1102" i="19"/>
  <c r="I1102" i="19" s="1"/>
  <c r="C1102" i="19" s="1"/>
  <c r="F1102" i="19"/>
  <c r="E1102" i="19"/>
  <c r="H1101" i="19"/>
  <c r="I1101" i="19" s="1"/>
  <c r="C1101" i="19" s="1"/>
  <c r="F1101" i="19"/>
  <c r="E1101" i="19"/>
  <c r="H1100" i="19"/>
  <c r="I1100" i="19" s="1"/>
  <c r="C1100" i="19" s="1"/>
  <c r="F1100" i="19"/>
  <c r="E1100" i="19"/>
  <c r="G1099" i="19"/>
  <c r="H1099" i="19" s="1"/>
  <c r="I1099" i="19" s="1"/>
  <c r="C1099" i="19" s="1"/>
  <c r="F1099" i="19"/>
  <c r="E1099" i="19"/>
  <c r="F1098" i="19"/>
  <c r="E1098" i="19"/>
  <c r="G1097" i="19"/>
  <c r="H1097" i="19" s="1"/>
  <c r="I1097" i="19" s="1"/>
  <c r="C1097" i="19" s="1"/>
  <c r="F1097" i="19"/>
  <c r="E1097" i="19"/>
  <c r="G1096" i="19"/>
  <c r="F1096" i="19"/>
  <c r="E1096" i="19"/>
  <c r="G1095" i="19"/>
  <c r="F1095" i="19"/>
  <c r="E1095" i="19"/>
  <c r="G1094" i="19"/>
  <c r="H1094" i="19" s="1"/>
  <c r="I1094" i="19" s="1"/>
  <c r="C1094" i="19" s="1"/>
  <c r="F1094" i="19"/>
  <c r="E1094" i="19"/>
  <c r="G1093" i="19"/>
  <c r="F1093" i="19"/>
  <c r="E1093" i="19"/>
  <c r="G1092" i="19"/>
  <c r="H1092" i="19" s="1"/>
  <c r="I1092" i="19" s="1"/>
  <c r="C1092" i="19" s="1"/>
  <c r="F1092" i="19"/>
  <c r="E1092" i="19"/>
  <c r="G1091" i="19"/>
  <c r="H1091" i="19" s="1"/>
  <c r="I1091" i="19" s="1"/>
  <c r="C1091" i="19" s="1"/>
  <c r="F1091" i="19"/>
  <c r="E1091" i="19"/>
  <c r="G1090" i="19"/>
  <c r="H1090" i="19" s="1"/>
  <c r="I1090" i="19" s="1"/>
  <c r="C1090" i="19" s="1"/>
  <c r="F1090" i="19"/>
  <c r="E1090" i="19"/>
  <c r="G1089" i="19"/>
  <c r="H1089" i="19" s="1"/>
  <c r="I1089" i="19" s="1"/>
  <c r="C1089" i="19" s="1"/>
  <c r="F1089" i="19"/>
  <c r="E1089" i="19"/>
  <c r="F1088" i="19"/>
  <c r="E1088" i="19"/>
  <c r="F1087" i="19"/>
  <c r="E1087" i="19"/>
  <c r="F1086" i="19"/>
  <c r="E1086" i="19"/>
  <c r="F1085" i="19"/>
  <c r="E1085" i="19"/>
  <c r="G1084" i="19"/>
  <c r="G1086" i="19" s="1"/>
  <c r="G1083" i="19"/>
  <c r="F1083" i="19"/>
  <c r="E1083" i="19"/>
  <c r="G1082" i="19"/>
  <c r="H1082" i="19" s="1"/>
  <c r="I1082" i="19" s="1"/>
  <c r="C1082" i="19" s="1"/>
  <c r="F1082" i="19"/>
  <c r="E1082" i="19"/>
  <c r="I1081" i="19"/>
  <c r="C1081" i="19" s="1"/>
  <c r="G1077" i="19"/>
  <c r="F1077" i="19"/>
  <c r="E1077" i="19"/>
  <c r="G1076" i="19"/>
  <c r="H1076" i="19" s="1"/>
  <c r="I1076" i="19" s="1"/>
  <c r="C1076" i="19" s="1"/>
  <c r="F1076" i="19"/>
  <c r="E1076" i="19"/>
  <c r="G1075" i="19"/>
  <c r="F1075" i="19"/>
  <c r="E1075" i="19"/>
  <c r="G1074" i="19"/>
  <c r="H1074" i="19" s="1"/>
  <c r="I1074" i="19" s="1"/>
  <c r="C1074" i="19" s="1"/>
  <c r="F1074" i="19"/>
  <c r="E1074" i="19"/>
  <c r="G1073" i="19"/>
  <c r="F1073" i="19"/>
  <c r="E1073" i="19"/>
  <c r="I1072" i="19"/>
  <c r="C1072" i="19" s="1"/>
  <c r="F1071" i="19"/>
  <c r="E1071" i="19"/>
  <c r="F1070" i="19"/>
  <c r="E1070" i="19"/>
  <c r="F1069" i="19"/>
  <c r="E1069" i="19"/>
  <c r="G1068" i="19"/>
  <c r="F1067" i="19"/>
  <c r="E1067" i="19"/>
  <c r="F1066" i="19"/>
  <c r="E1066" i="19"/>
  <c r="F1065" i="19"/>
  <c r="E1065" i="19"/>
  <c r="G1064" i="19"/>
  <c r="G1065" i="19" s="1"/>
  <c r="H1065" i="19" s="1"/>
  <c r="I1065" i="19" s="1"/>
  <c r="C1065" i="19" s="1"/>
  <c r="F1063" i="19"/>
  <c r="E1063" i="19"/>
  <c r="F1062" i="19"/>
  <c r="E1062" i="19"/>
  <c r="G1061" i="19"/>
  <c r="G1063" i="19" s="1"/>
  <c r="F1060" i="19"/>
  <c r="E1060" i="19"/>
  <c r="F1059" i="19"/>
  <c r="E1059" i="19"/>
  <c r="F1058" i="19"/>
  <c r="E1058" i="19"/>
  <c r="F1057" i="19"/>
  <c r="E1057" i="19"/>
  <c r="G1056" i="19"/>
  <c r="G1060" i="19" s="1"/>
  <c r="F1055" i="19"/>
  <c r="E1055" i="19"/>
  <c r="F1054" i="19"/>
  <c r="E1054" i="19"/>
  <c r="F1053" i="19"/>
  <c r="E1053" i="19"/>
  <c r="G1052" i="19"/>
  <c r="F1051" i="19"/>
  <c r="E1051" i="19"/>
  <c r="F1050" i="19"/>
  <c r="E1050" i="19"/>
  <c r="G1049" i="19"/>
  <c r="F1048" i="19"/>
  <c r="E1048" i="19"/>
  <c r="D1048" i="19"/>
  <c r="G1139" i="19" s="1"/>
  <c r="F1047" i="19"/>
  <c r="E1047" i="19"/>
  <c r="D1047" i="19"/>
  <c r="G1140" i="19" s="1"/>
  <c r="F1046" i="19"/>
  <c r="E1046" i="19"/>
  <c r="D1046" i="19"/>
  <c r="G1141" i="19" s="1"/>
  <c r="F1045" i="19"/>
  <c r="E1045" i="19"/>
  <c r="D1045" i="19"/>
  <c r="G1142" i="19" s="1"/>
  <c r="G1044" i="19"/>
  <c r="F1044" i="19"/>
  <c r="E1044" i="19"/>
  <c r="F1043" i="19"/>
  <c r="E1043" i="19"/>
  <c r="D1043" i="19"/>
  <c r="G1144" i="19" s="1"/>
  <c r="F1042" i="19"/>
  <c r="E1042" i="19"/>
  <c r="D1042" i="19"/>
  <c r="G1042" i="19" s="1"/>
  <c r="H1042" i="19" s="1"/>
  <c r="I1042" i="19" s="1"/>
  <c r="C1042" i="19" s="1"/>
  <c r="F1041" i="19"/>
  <c r="E1041" i="19"/>
  <c r="D1041" i="19"/>
  <c r="G1137" i="19" s="1"/>
  <c r="F1040" i="19"/>
  <c r="E1040" i="19"/>
  <c r="D1040" i="19"/>
  <c r="G1040" i="19" s="1"/>
  <c r="H1040" i="19" s="1"/>
  <c r="I1040" i="19" s="1"/>
  <c r="C1040" i="19" s="1"/>
  <c r="F1039" i="19"/>
  <c r="E1039" i="19"/>
  <c r="D1039" i="19"/>
  <c r="G1135" i="19" s="1"/>
  <c r="F1038" i="19"/>
  <c r="E1038" i="19"/>
  <c r="D1038" i="19"/>
  <c r="G1038" i="19" s="1"/>
  <c r="F1037" i="19"/>
  <c r="E1037" i="19"/>
  <c r="D1037" i="19"/>
  <c r="G1133" i="19" s="1"/>
  <c r="F1036" i="19"/>
  <c r="E1036" i="19"/>
  <c r="D1036" i="19"/>
  <c r="G1122" i="19" s="1"/>
  <c r="C1035" i="19"/>
  <c r="H1034" i="19"/>
  <c r="I1034" i="19" s="1"/>
  <c r="C1034" i="19" s="1"/>
  <c r="F1034" i="19"/>
  <c r="E1034" i="19"/>
  <c r="D1034" i="19"/>
  <c r="H1033" i="19"/>
  <c r="I1033" i="19" s="1"/>
  <c r="C1033" i="19" s="1"/>
  <c r="F1033" i="19"/>
  <c r="E1033" i="19"/>
  <c r="D1033" i="19"/>
  <c r="H1032" i="19"/>
  <c r="I1032" i="19" s="1"/>
  <c r="C1032" i="19" s="1"/>
  <c r="F1032" i="19"/>
  <c r="E1032" i="19"/>
  <c r="D1032" i="19"/>
  <c r="H1031" i="19"/>
  <c r="I1031" i="19" s="1"/>
  <c r="C1031" i="19" s="1"/>
  <c r="F1031" i="19"/>
  <c r="E1031" i="19"/>
  <c r="D1031" i="19"/>
  <c r="H1030" i="19"/>
  <c r="I1030" i="19" s="1"/>
  <c r="C1030" i="19" s="1"/>
  <c r="F1030" i="19"/>
  <c r="E1030" i="19"/>
  <c r="D1030" i="19"/>
  <c r="I1029" i="19"/>
  <c r="C1029" i="19" s="1"/>
  <c r="G1029" i="19"/>
  <c r="F1029" i="19"/>
  <c r="E1029" i="19"/>
  <c r="D1029" i="19"/>
  <c r="I1028" i="19"/>
  <c r="G1028" i="19" s="1"/>
  <c r="F1028" i="19"/>
  <c r="E1028" i="19"/>
  <c r="D1028" i="19"/>
  <c r="I1027" i="19"/>
  <c r="C1027" i="19" s="1"/>
  <c r="F1027" i="19"/>
  <c r="D1027" i="19"/>
  <c r="I1026" i="19"/>
  <c r="C1026" i="19" s="1"/>
  <c r="F1026" i="19"/>
  <c r="D1026" i="19"/>
  <c r="I1025" i="19"/>
  <c r="C1025" i="19" s="1"/>
  <c r="F1025" i="19"/>
  <c r="D1025" i="19"/>
  <c r="I1024" i="19"/>
  <c r="C1024" i="19" s="1"/>
  <c r="F1024" i="19"/>
  <c r="D1024" i="19"/>
  <c r="I1023" i="19"/>
  <c r="C1023" i="19" s="1"/>
  <c r="F1023" i="19"/>
  <c r="E1023" i="19"/>
  <c r="D1023" i="19"/>
  <c r="I1022" i="19"/>
  <c r="C1022" i="19" s="1"/>
  <c r="F1022" i="19"/>
  <c r="D1022" i="19"/>
  <c r="I1021" i="19"/>
  <c r="C1021" i="19" s="1"/>
  <c r="F1021" i="19"/>
  <c r="D1021" i="19"/>
  <c r="I1020" i="19"/>
  <c r="C1020" i="19" s="1"/>
  <c r="F1020" i="19"/>
  <c r="D1020" i="19"/>
  <c r="F1019" i="19"/>
  <c r="D1019" i="19"/>
  <c r="H1018" i="19"/>
  <c r="I1018" i="19" s="1"/>
  <c r="C1018" i="19" s="1"/>
  <c r="F1018" i="19"/>
  <c r="E1018" i="19"/>
  <c r="D1018" i="19"/>
  <c r="I1017" i="19"/>
  <c r="C1017" i="19" s="1"/>
  <c r="F1017" i="19"/>
  <c r="D1017" i="19"/>
  <c r="I1016" i="19"/>
  <c r="C1016" i="19" s="1"/>
  <c r="F1016" i="19"/>
  <c r="E1016" i="19"/>
  <c r="D1016" i="19"/>
  <c r="I1015" i="19"/>
  <c r="C1015" i="19" s="1"/>
  <c r="G1015" i="19"/>
  <c r="G1016" i="19" s="1"/>
  <c r="F1015" i="19"/>
  <c r="E1015" i="19"/>
  <c r="D1015" i="19"/>
  <c r="I1014" i="19"/>
  <c r="C1014" i="19" s="1"/>
  <c r="F1014" i="19"/>
  <c r="E1014" i="19"/>
  <c r="D1014" i="19"/>
  <c r="I1013" i="19"/>
  <c r="C1013" i="19" s="1"/>
  <c r="F1013" i="19"/>
  <c r="E1013" i="19"/>
  <c r="D1013" i="19"/>
  <c r="I1012" i="19"/>
  <c r="C1012" i="19" s="1"/>
  <c r="F1012" i="19"/>
  <c r="E1012" i="19"/>
  <c r="D1012" i="19"/>
  <c r="I1011" i="19"/>
  <c r="C1011" i="19" s="1"/>
  <c r="F1011" i="19"/>
  <c r="E1011" i="19"/>
  <c r="D1011" i="19"/>
  <c r="I1010" i="19"/>
  <c r="C1010" i="19" s="1"/>
  <c r="F1010" i="19"/>
  <c r="E1010" i="19"/>
  <c r="D1010" i="19"/>
  <c r="I1009" i="19"/>
  <c r="C1009" i="19" s="1"/>
  <c r="F1009" i="19"/>
  <c r="E1009" i="19"/>
  <c r="D1009" i="19"/>
  <c r="I1008" i="19"/>
  <c r="C1008" i="19" s="1"/>
  <c r="F1008" i="19"/>
  <c r="E1008" i="19"/>
  <c r="D1008" i="19"/>
  <c r="I1007" i="19"/>
  <c r="C1007" i="19" s="1"/>
  <c r="F1007" i="19"/>
  <c r="E1007" i="19"/>
  <c r="D1007" i="19"/>
  <c r="H1006" i="19"/>
  <c r="I1006" i="19" s="1"/>
  <c r="C1006" i="19" s="1"/>
  <c r="F1006" i="19"/>
  <c r="E1006" i="19"/>
  <c r="D1006" i="19"/>
  <c r="I1005" i="19"/>
  <c r="C1005" i="19" s="1"/>
  <c r="F1005" i="19"/>
  <c r="E1005" i="19"/>
  <c r="D1005" i="19"/>
  <c r="I1004" i="19"/>
  <c r="C1004" i="19" s="1"/>
  <c r="G1004" i="19"/>
  <c r="F1004" i="19"/>
  <c r="E1004" i="19"/>
  <c r="D1004" i="19"/>
  <c r="I1003" i="19"/>
  <c r="C1003" i="19" s="1"/>
  <c r="F1003" i="19"/>
  <c r="E1003" i="19"/>
  <c r="D1003" i="19"/>
  <c r="I1002" i="19"/>
  <c r="C1002" i="19" s="1"/>
  <c r="F1002" i="19"/>
  <c r="E1002" i="19"/>
  <c r="D1002" i="19"/>
  <c r="I1001" i="19"/>
  <c r="C1001" i="19" s="1"/>
  <c r="F1001" i="19"/>
  <c r="D1001" i="19"/>
  <c r="H1000" i="19"/>
  <c r="I1000" i="19" s="1"/>
  <c r="C1000" i="19" s="1"/>
  <c r="F1000" i="19"/>
  <c r="E1000" i="19"/>
  <c r="H999" i="19"/>
  <c r="I999" i="19" s="1"/>
  <c r="C999" i="19" s="1"/>
  <c r="F999" i="19"/>
  <c r="E999" i="19"/>
  <c r="F998" i="19"/>
  <c r="E998" i="19"/>
  <c r="F997" i="19"/>
  <c r="E997" i="19"/>
  <c r="F996" i="19"/>
  <c r="E996" i="19"/>
  <c r="F995" i="19"/>
  <c r="E995" i="19"/>
  <c r="F994" i="19"/>
  <c r="E994" i="19"/>
  <c r="F993" i="19"/>
  <c r="E993" i="19"/>
  <c r="G992" i="19"/>
  <c r="H992" i="19" s="1"/>
  <c r="I992" i="19" s="1"/>
  <c r="C992" i="19" s="1"/>
  <c r="F992" i="19"/>
  <c r="E992" i="19"/>
  <c r="G991" i="19"/>
  <c r="F991" i="19"/>
  <c r="E991" i="19"/>
  <c r="G990" i="19"/>
  <c r="H990" i="19" s="1"/>
  <c r="I990" i="19" s="1"/>
  <c r="C990" i="19" s="1"/>
  <c r="F990" i="19"/>
  <c r="E990" i="19"/>
  <c r="G989" i="19"/>
  <c r="F989" i="19"/>
  <c r="E989" i="19"/>
  <c r="D989" i="19"/>
  <c r="H988" i="19"/>
  <c r="I988" i="19" s="1"/>
  <c r="C988" i="19" s="1"/>
  <c r="F988" i="19"/>
  <c r="E988" i="19"/>
  <c r="D988" i="19"/>
  <c r="F987" i="19"/>
  <c r="E987" i="19"/>
  <c r="D987" i="19"/>
  <c r="G986" i="19"/>
  <c r="H986" i="19" s="1"/>
  <c r="I986" i="19" s="1"/>
  <c r="C986" i="19" s="1"/>
  <c r="F986" i="19"/>
  <c r="E986" i="19"/>
  <c r="D986" i="19"/>
  <c r="H985" i="19"/>
  <c r="I985" i="19" s="1"/>
  <c r="C985" i="19" s="1"/>
  <c r="F985" i="19"/>
  <c r="E985" i="19"/>
  <c r="D985" i="19"/>
  <c r="G984" i="19"/>
  <c r="H984" i="19" s="1"/>
  <c r="I984" i="19" s="1"/>
  <c r="C984" i="19" s="1"/>
  <c r="F984" i="19"/>
  <c r="E984" i="19"/>
  <c r="D984" i="19"/>
  <c r="G983" i="19"/>
  <c r="H983" i="19" s="1"/>
  <c r="I983" i="19" s="1"/>
  <c r="C983" i="19" s="1"/>
  <c r="F983" i="19"/>
  <c r="E983" i="19"/>
  <c r="D983" i="19"/>
  <c r="G982" i="19"/>
  <c r="F982" i="19"/>
  <c r="E982" i="19"/>
  <c r="D982" i="19"/>
  <c r="G981" i="19"/>
  <c r="H981" i="19" s="1"/>
  <c r="I981" i="19" s="1"/>
  <c r="C981" i="19" s="1"/>
  <c r="F981" i="19"/>
  <c r="E981" i="19"/>
  <c r="D981" i="19"/>
  <c r="G980" i="19"/>
  <c r="H980" i="19" s="1"/>
  <c r="I980" i="19" s="1"/>
  <c r="C980" i="19" s="1"/>
  <c r="F980" i="19"/>
  <c r="E980" i="19"/>
  <c r="H979" i="19"/>
  <c r="I979" i="19" s="1"/>
  <c r="C979" i="19" s="1"/>
  <c r="F979" i="19"/>
  <c r="E979" i="19"/>
  <c r="G978" i="19"/>
  <c r="H978" i="19" s="1"/>
  <c r="I978" i="19" s="1"/>
  <c r="C978" i="19" s="1"/>
  <c r="F978" i="19"/>
  <c r="E978" i="19"/>
  <c r="G977" i="19"/>
  <c r="H977" i="19" s="1"/>
  <c r="I977" i="19" s="1"/>
  <c r="C977" i="19" s="1"/>
  <c r="F977" i="19"/>
  <c r="E977" i="19"/>
  <c r="G976" i="19"/>
  <c r="H976" i="19" s="1"/>
  <c r="I976" i="19" s="1"/>
  <c r="C976" i="19" s="1"/>
  <c r="F976" i="19"/>
  <c r="E976" i="19"/>
  <c r="G975" i="19"/>
  <c r="H975" i="19" s="1"/>
  <c r="I975" i="19" s="1"/>
  <c r="C975" i="19" s="1"/>
  <c r="F975" i="19"/>
  <c r="E975" i="19"/>
  <c r="G974" i="19"/>
  <c r="F974" i="19"/>
  <c r="E974" i="19"/>
  <c r="H973" i="19"/>
  <c r="I973" i="19" s="1"/>
  <c r="C973" i="19" s="1"/>
  <c r="F973" i="19"/>
  <c r="E973" i="19"/>
  <c r="H972" i="19"/>
  <c r="I972" i="19" s="1"/>
  <c r="C972" i="19" s="1"/>
  <c r="F972" i="19"/>
  <c r="E972" i="19"/>
  <c r="H971" i="19"/>
  <c r="I971" i="19" s="1"/>
  <c r="C971" i="19" s="1"/>
  <c r="F971" i="19"/>
  <c r="E971" i="19"/>
  <c r="H970" i="19"/>
  <c r="I970" i="19" s="1"/>
  <c r="C970" i="19" s="1"/>
  <c r="F970" i="19"/>
  <c r="E970" i="19"/>
  <c r="H969" i="19"/>
  <c r="I969" i="19" s="1"/>
  <c r="C969" i="19" s="1"/>
  <c r="F969" i="19"/>
  <c r="E969" i="19"/>
  <c r="H968" i="19"/>
  <c r="I968" i="19" s="1"/>
  <c r="C968" i="19" s="1"/>
  <c r="F968" i="19"/>
  <c r="E968" i="19"/>
  <c r="H967" i="19"/>
  <c r="I967" i="19" s="1"/>
  <c r="C967" i="19" s="1"/>
  <c r="F967" i="19"/>
  <c r="E967" i="19"/>
  <c r="H966" i="19"/>
  <c r="I966" i="19" s="1"/>
  <c r="C966" i="19" s="1"/>
  <c r="F966" i="19"/>
  <c r="E966" i="19"/>
  <c r="H965" i="19"/>
  <c r="I965" i="19" s="1"/>
  <c r="C965" i="19" s="1"/>
  <c r="F965" i="19"/>
  <c r="E965" i="19"/>
  <c r="H964" i="19"/>
  <c r="I964" i="19" s="1"/>
  <c r="C964" i="19" s="1"/>
  <c r="F964" i="19"/>
  <c r="E964" i="19"/>
  <c r="H963" i="19"/>
  <c r="I963" i="19" s="1"/>
  <c r="C963" i="19" s="1"/>
  <c r="F963" i="19"/>
  <c r="E963" i="19"/>
  <c r="H962" i="19"/>
  <c r="I962" i="19" s="1"/>
  <c r="C962" i="19" s="1"/>
  <c r="F962" i="19"/>
  <c r="E962" i="19"/>
  <c r="H961" i="19"/>
  <c r="I961" i="19" s="1"/>
  <c r="C961" i="19" s="1"/>
  <c r="F961" i="19"/>
  <c r="E961" i="19"/>
  <c r="H960" i="19"/>
  <c r="I960" i="19" s="1"/>
  <c r="C960" i="19" s="1"/>
  <c r="F960" i="19"/>
  <c r="E960" i="19"/>
  <c r="H959" i="19"/>
  <c r="I959" i="19" s="1"/>
  <c r="C959" i="19" s="1"/>
  <c r="F959" i="19"/>
  <c r="E959" i="19"/>
  <c r="H958" i="19"/>
  <c r="I958" i="19" s="1"/>
  <c r="C958" i="19" s="1"/>
  <c r="F958" i="19"/>
  <c r="E958" i="19"/>
  <c r="H957" i="19"/>
  <c r="I957" i="19" s="1"/>
  <c r="C957" i="19" s="1"/>
  <c r="F957" i="19"/>
  <c r="E957" i="19"/>
  <c r="I956" i="19"/>
  <c r="C956" i="19" s="1"/>
  <c r="H955" i="19"/>
  <c r="I955" i="19" s="1"/>
  <c r="C955" i="19" s="1"/>
  <c r="F955" i="19"/>
  <c r="E955" i="19"/>
  <c r="H954" i="19"/>
  <c r="I954" i="19" s="1"/>
  <c r="C954" i="19" s="1"/>
  <c r="F954" i="19"/>
  <c r="E954" i="19"/>
  <c r="F953" i="19"/>
  <c r="E953" i="19"/>
  <c r="F952" i="19"/>
  <c r="E952" i="19"/>
  <c r="F951" i="19"/>
  <c r="E951" i="19"/>
  <c r="G950" i="19"/>
  <c r="I950" i="19" s="1"/>
  <c r="C950" i="19" s="1"/>
  <c r="G949" i="19"/>
  <c r="H949" i="19" s="1"/>
  <c r="I949" i="19" s="1"/>
  <c r="C949" i="19" s="1"/>
  <c r="F949" i="19"/>
  <c r="E949" i="19"/>
  <c r="G948" i="19"/>
  <c r="F948" i="19"/>
  <c r="E948" i="19"/>
  <c r="G947" i="19"/>
  <c r="H947" i="19" s="1"/>
  <c r="I947" i="19" s="1"/>
  <c r="C947" i="19" s="1"/>
  <c r="F947" i="19"/>
  <c r="E947" i="19"/>
  <c r="G946" i="19"/>
  <c r="F946" i="19"/>
  <c r="E946" i="19"/>
  <c r="I945" i="19"/>
  <c r="C945" i="19" s="1"/>
  <c r="G944" i="19"/>
  <c r="F944" i="19"/>
  <c r="E944" i="19"/>
  <c r="I943" i="19"/>
  <c r="C943" i="19" s="1"/>
  <c r="F943" i="19"/>
  <c r="E943" i="19"/>
  <c r="I942" i="19"/>
  <c r="C942" i="19" s="1"/>
  <c r="F942" i="19"/>
  <c r="E942" i="19"/>
  <c r="I941" i="19"/>
  <c r="C941" i="19" s="1"/>
  <c r="F941" i="19"/>
  <c r="E941" i="19"/>
  <c r="I940" i="19"/>
  <c r="C940" i="19" s="1"/>
  <c r="F940" i="19"/>
  <c r="E940" i="19"/>
  <c r="I939" i="19"/>
  <c r="C939" i="19" s="1"/>
  <c r="F938" i="19"/>
  <c r="E938" i="19"/>
  <c r="F937" i="19"/>
  <c r="E937" i="19"/>
  <c r="F936" i="19"/>
  <c r="E936" i="19"/>
  <c r="G935" i="19"/>
  <c r="G936" i="19" s="1"/>
  <c r="F934" i="19"/>
  <c r="E934" i="19"/>
  <c r="F933" i="19"/>
  <c r="E933" i="19"/>
  <c r="F932" i="19"/>
  <c r="E932" i="19"/>
  <c r="G931" i="19"/>
  <c r="G934" i="19" s="1"/>
  <c r="F930" i="19"/>
  <c r="E930" i="19"/>
  <c r="F929" i="19"/>
  <c r="E929" i="19"/>
  <c r="G928" i="19"/>
  <c r="G930" i="19" s="1"/>
  <c r="F927" i="19"/>
  <c r="E927" i="19"/>
  <c r="F926" i="19"/>
  <c r="E926" i="19"/>
  <c r="F925" i="19"/>
  <c r="E925" i="19"/>
  <c r="G924" i="19"/>
  <c r="I924" i="19" s="1"/>
  <c r="C924" i="19" s="1"/>
  <c r="F923" i="19"/>
  <c r="E923" i="19"/>
  <c r="F922" i="19"/>
  <c r="E922" i="19"/>
  <c r="F921" i="19"/>
  <c r="E921" i="19"/>
  <c r="F920" i="19"/>
  <c r="E920" i="19"/>
  <c r="I919" i="19"/>
  <c r="C919" i="19" s="1"/>
  <c r="G919" i="19"/>
  <c r="G920" i="19" s="1"/>
  <c r="G922" i="19" s="1"/>
  <c r="F918" i="19"/>
  <c r="E918" i="19"/>
  <c r="F917" i="19"/>
  <c r="E917" i="19"/>
  <c r="F916" i="19"/>
  <c r="E916" i="19"/>
  <c r="G915" i="19"/>
  <c r="G918" i="19" s="1"/>
  <c r="H918" i="19" s="1"/>
  <c r="I918" i="19" s="1"/>
  <c r="C918" i="19" s="1"/>
  <c r="F914" i="19"/>
  <c r="E914" i="19"/>
  <c r="F913" i="19"/>
  <c r="E913" i="19"/>
  <c r="G911" i="19"/>
  <c r="F910" i="19"/>
  <c r="E910" i="19"/>
  <c r="D910" i="19"/>
  <c r="G1009" i="19" s="1"/>
  <c r="F909" i="19"/>
  <c r="E909" i="19"/>
  <c r="D909" i="19"/>
  <c r="G1010" i="19" s="1"/>
  <c r="F908" i="19"/>
  <c r="E908" i="19"/>
  <c r="D908" i="19"/>
  <c r="F907" i="19"/>
  <c r="E907" i="19"/>
  <c r="D907" i="19"/>
  <c r="G1012" i="19" s="1"/>
  <c r="F906" i="19"/>
  <c r="E906" i="19"/>
  <c r="D906" i="19"/>
  <c r="G1013" i="19" s="1"/>
  <c r="F905" i="19"/>
  <c r="E905" i="19"/>
  <c r="D905" i="19"/>
  <c r="G1014" i="19" s="1"/>
  <c r="F904" i="19"/>
  <c r="E904" i="19"/>
  <c r="D904" i="19"/>
  <c r="G904" i="19" s="1"/>
  <c r="G903" i="19"/>
  <c r="H903" i="19" s="1"/>
  <c r="I903" i="19" s="1"/>
  <c r="C903" i="19" s="1"/>
  <c r="F903" i="19"/>
  <c r="E903" i="19"/>
  <c r="F902" i="19"/>
  <c r="E902" i="19"/>
  <c r="D902" i="19"/>
  <c r="G1002" i="19" s="1"/>
  <c r="F901" i="19"/>
  <c r="E901" i="19"/>
  <c r="D901" i="19"/>
  <c r="G901" i="19" s="1"/>
  <c r="G900" i="19"/>
  <c r="F900" i="19"/>
  <c r="E900" i="19"/>
  <c r="F899" i="19"/>
  <c r="E899" i="19"/>
  <c r="D899" i="19"/>
  <c r="F898" i="19"/>
  <c r="E898" i="19"/>
  <c r="D898" i="19"/>
  <c r="G898" i="19" s="1"/>
  <c r="F897" i="19"/>
  <c r="E897" i="19"/>
  <c r="D897" i="19"/>
  <c r="I896" i="19"/>
  <c r="G895" i="19"/>
  <c r="F894" i="19"/>
  <c r="E894" i="19"/>
  <c r="D894" i="19"/>
  <c r="C894" i="19"/>
  <c r="F893" i="19"/>
  <c r="E893" i="19"/>
  <c r="D893" i="19"/>
  <c r="C893" i="19"/>
  <c r="G892" i="19"/>
  <c r="F892" i="19"/>
  <c r="E892" i="19"/>
  <c r="D892" i="19"/>
  <c r="C892" i="19"/>
  <c r="C891" i="19"/>
  <c r="F891" i="19"/>
  <c r="C890" i="19"/>
  <c r="F890" i="19"/>
  <c r="F889" i="19"/>
  <c r="E889" i="19"/>
  <c r="D889" i="19"/>
  <c r="F888" i="19"/>
  <c r="E888" i="19"/>
  <c r="D888" i="19"/>
  <c r="F887" i="19"/>
  <c r="E887" i="19"/>
  <c r="F885" i="19"/>
  <c r="E885" i="19"/>
  <c r="D885" i="19"/>
  <c r="C885" i="19"/>
  <c r="F884" i="19"/>
  <c r="E884" i="19"/>
  <c r="D884" i="19"/>
  <c r="C884" i="19"/>
  <c r="G883" i="19"/>
  <c r="F883" i="19"/>
  <c r="E883" i="19"/>
  <c r="D883" i="19"/>
  <c r="C883" i="19"/>
  <c r="C882" i="19"/>
  <c r="E882" i="19"/>
  <c r="F881" i="19"/>
  <c r="D881" i="19"/>
  <c r="C881" i="19"/>
  <c r="F880" i="19"/>
  <c r="E880" i="19"/>
  <c r="D880" i="19"/>
  <c r="F879" i="19"/>
  <c r="E879" i="19"/>
  <c r="D879" i="19"/>
  <c r="F878" i="19"/>
  <c r="E878" i="19"/>
  <c r="F876" i="19"/>
  <c r="E876" i="19"/>
  <c r="D876" i="19"/>
  <c r="C876" i="19"/>
  <c r="F875" i="19"/>
  <c r="E875" i="19"/>
  <c r="D875" i="19"/>
  <c r="C875" i="19"/>
  <c r="G874" i="19"/>
  <c r="F874" i="19"/>
  <c r="E874" i="19"/>
  <c r="D874" i="19"/>
  <c r="C874" i="19"/>
  <c r="F873" i="19"/>
  <c r="C873" i="19"/>
  <c r="D873" i="19"/>
  <c r="C872" i="19"/>
  <c r="F871" i="19"/>
  <c r="E871" i="19"/>
  <c r="D871" i="19"/>
  <c r="F870" i="19"/>
  <c r="E870" i="19"/>
  <c r="D870" i="19"/>
  <c r="F869" i="19"/>
  <c r="E869" i="19"/>
  <c r="F867" i="19"/>
  <c r="E867" i="19"/>
  <c r="D867" i="19"/>
  <c r="C867" i="19"/>
  <c r="F866" i="19"/>
  <c r="E866" i="19"/>
  <c r="D866" i="19"/>
  <c r="C866" i="19"/>
  <c r="G865" i="19"/>
  <c r="F865" i="19"/>
  <c r="E865" i="19"/>
  <c r="D865" i="19"/>
  <c r="C865" i="19"/>
  <c r="C864" i="19"/>
  <c r="F864" i="19"/>
  <c r="C863" i="19"/>
  <c r="E863" i="19"/>
  <c r="F862" i="19"/>
  <c r="E862" i="19"/>
  <c r="D862" i="19"/>
  <c r="F861" i="19"/>
  <c r="E861" i="19"/>
  <c r="D861" i="19"/>
  <c r="F860" i="19"/>
  <c r="E860" i="19"/>
  <c r="F858" i="19"/>
  <c r="E858" i="19"/>
  <c r="D858" i="19"/>
  <c r="C858" i="19"/>
  <c r="F857" i="19"/>
  <c r="E857" i="19"/>
  <c r="D857" i="19"/>
  <c r="C857" i="19"/>
  <c r="G856" i="19"/>
  <c r="F856" i="19"/>
  <c r="E856" i="19"/>
  <c r="D856" i="19"/>
  <c r="C856" i="19"/>
  <c r="C855" i="19"/>
  <c r="D855" i="19"/>
  <c r="C854" i="19"/>
  <c r="E854" i="19"/>
  <c r="F853" i="19"/>
  <c r="E853" i="19"/>
  <c r="D853" i="19"/>
  <c r="F852" i="19"/>
  <c r="E852" i="19"/>
  <c r="D852" i="19"/>
  <c r="F851" i="19"/>
  <c r="E851" i="19"/>
  <c r="F849" i="19"/>
  <c r="E849" i="19"/>
  <c r="D849" i="19"/>
  <c r="C849" i="19"/>
  <c r="F848" i="19"/>
  <c r="E848" i="19"/>
  <c r="D848" i="19"/>
  <c r="C848" i="19"/>
  <c r="G847" i="19"/>
  <c r="F847" i="19"/>
  <c r="E847" i="19"/>
  <c r="D847" i="19"/>
  <c r="C847" i="19"/>
  <c r="C846" i="19"/>
  <c r="E846" i="19"/>
  <c r="C845" i="19"/>
  <c r="F845" i="19"/>
  <c r="F844" i="19"/>
  <c r="E844" i="19"/>
  <c r="D844" i="19"/>
  <c r="F843" i="19"/>
  <c r="E843" i="19"/>
  <c r="D843" i="19"/>
  <c r="F842" i="19"/>
  <c r="E842" i="19"/>
  <c r="F840" i="19"/>
  <c r="E840" i="19"/>
  <c r="D840" i="19"/>
  <c r="C840" i="19"/>
  <c r="F839" i="19"/>
  <c r="E839" i="19"/>
  <c r="D839" i="19"/>
  <c r="C839" i="19"/>
  <c r="G838" i="19"/>
  <c r="F838" i="19"/>
  <c r="E838" i="19"/>
  <c r="D838" i="19"/>
  <c r="C838" i="19"/>
  <c r="C837" i="19"/>
  <c r="C836" i="19"/>
  <c r="E836" i="19"/>
  <c r="F835" i="19"/>
  <c r="E835" i="19"/>
  <c r="D835" i="19"/>
  <c r="F834" i="19"/>
  <c r="E834" i="19"/>
  <c r="D834" i="19"/>
  <c r="F833" i="19"/>
  <c r="E833" i="19"/>
  <c r="F831" i="19"/>
  <c r="E831" i="19"/>
  <c r="D831" i="19"/>
  <c r="C831" i="19"/>
  <c r="F830" i="19"/>
  <c r="E830" i="19"/>
  <c r="D830" i="19"/>
  <c r="C830" i="19"/>
  <c r="G829" i="19"/>
  <c r="F829" i="19"/>
  <c r="E829" i="19"/>
  <c r="D829" i="19"/>
  <c r="C829" i="19"/>
  <c r="C828" i="19"/>
  <c r="D828" i="19"/>
  <c r="C827" i="19"/>
  <c r="D827" i="19"/>
  <c r="F826" i="19"/>
  <c r="E826" i="19"/>
  <c r="D826" i="19"/>
  <c r="F825" i="19"/>
  <c r="E825" i="19"/>
  <c r="D825" i="19"/>
  <c r="F824" i="19"/>
  <c r="E824" i="19"/>
  <c r="F822" i="19"/>
  <c r="E822" i="19"/>
  <c r="D822" i="19"/>
  <c r="C822" i="19"/>
  <c r="F821" i="19"/>
  <c r="E821" i="19"/>
  <c r="D821" i="19"/>
  <c r="C821" i="19"/>
  <c r="F820" i="19"/>
  <c r="E820" i="19"/>
  <c r="D820" i="19"/>
  <c r="C820" i="19"/>
  <c r="J819" i="19"/>
  <c r="F819" i="19"/>
  <c r="J818" i="19"/>
  <c r="F818" i="19"/>
  <c r="J817" i="19"/>
  <c r="F817" i="19"/>
  <c r="E817" i="19"/>
  <c r="D817" i="19"/>
  <c r="J816" i="19"/>
  <c r="F816" i="19"/>
  <c r="E816" i="19"/>
  <c r="F814" i="19"/>
  <c r="E814" i="19"/>
  <c r="D814" i="19"/>
  <c r="C814" i="19"/>
  <c r="F813" i="19"/>
  <c r="E813" i="19"/>
  <c r="D813" i="19"/>
  <c r="C813" i="19"/>
  <c r="F812" i="19"/>
  <c r="E812" i="19"/>
  <c r="D812" i="19"/>
  <c r="C812" i="19"/>
  <c r="K811" i="19"/>
  <c r="D811" i="19"/>
  <c r="F811" i="19"/>
  <c r="K810" i="19"/>
  <c r="F810" i="19"/>
  <c r="K809" i="19"/>
  <c r="F809" i="19"/>
  <c r="E809" i="19"/>
  <c r="D809" i="19"/>
  <c r="K808" i="19"/>
  <c r="F808" i="19"/>
  <c r="E808" i="19"/>
  <c r="F806" i="19"/>
  <c r="E806" i="19"/>
  <c r="D806" i="19"/>
  <c r="C806" i="19"/>
  <c r="F805" i="19"/>
  <c r="E805" i="19"/>
  <c r="D805" i="19"/>
  <c r="C805" i="19"/>
  <c r="F804" i="19"/>
  <c r="E804" i="19"/>
  <c r="D804" i="19"/>
  <c r="C804" i="19"/>
  <c r="F803" i="19"/>
  <c r="E803" i="19"/>
  <c r="F802" i="19"/>
  <c r="E802" i="19"/>
  <c r="F801" i="19"/>
  <c r="E801" i="19"/>
  <c r="F800" i="19"/>
  <c r="E800" i="19"/>
  <c r="F799" i="19"/>
  <c r="F798" i="19"/>
  <c r="E798" i="19"/>
  <c r="F797" i="19"/>
  <c r="E797" i="19"/>
  <c r="F796" i="19"/>
  <c r="E796" i="19"/>
  <c r="F794" i="19"/>
  <c r="E794" i="19"/>
  <c r="D794" i="19"/>
  <c r="C794" i="19"/>
  <c r="F793" i="19"/>
  <c r="E793" i="19"/>
  <c r="D793" i="19"/>
  <c r="C793" i="19"/>
  <c r="G792" i="19"/>
  <c r="F792" i="19"/>
  <c r="E792" i="19"/>
  <c r="D792" i="19"/>
  <c r="C792" i="19"/>
  <c r="F791" i="19"/>
  <c r="E791" i="19"/>
  <c r="F790" i="19"/>
  <c r="E790" i="19"/>
  <c r="F789" i="19"/>
  <c r="E789" i="19"/>
  <c r="F788" i="19"/>
  <c r="E788" i="19"/>
  <c r="F786" i="19"/>
  <c r="E786" i="19"/>
  <c r="F785" i="19"/>
  <c r="E785" i="19"/>
  <c r="F784" i="19"/>
  <c r="E784" i="19"/>
  <c r="F782" i="19"/>
  <c r="E782" i="19"/>
  <c r="D782" i="19"/>
  <c r="C782" i="19"/>
  <c r="F781" i="19"/>
  <c r="E781" i="19"/>
  <c r="D781" i="19"/>
  <c r="C781" i="19"/>
  <c r="G780" i="19"/>
  <c r="F780" i="19"/>
  <c r="E780" i="19"/>
  <c r="D780" i="19"/>
  <c r="C780" i="19"/>
  <c r="F779" i="19"/>
  <c r="E779" i="19"/>
  <c r="F778" i="19"/>
  <c r="E778" i="19"/>
  <c r="F777" i="19"/>
  <c r="E777" i="19"/>
  <c r="F776" i="19"/>
  <c r="E776" i="19"/>
  <c r="F775" i="19"/>
  <c r="E775" i="19"/>
  <c r="F774" i="19"/>
  <c r="E774" i="19"/>
  <c r="F773" i="19"/>
  <c r="E773" i="19"/>
  <c r="F772" i="19"/>
  <c r="E772" i="19"/>
  <c r="F771" i="19"/>
  <c r="E771" i="19"/>
  <c r="F769" i="19"/>
  <c r="E769" i="19"/>
  <c r="D769" i="19"/>
  <c r="C769" i="19"/>
  <c r="F768" i="19"/>
  <c r="E768" i="19"/>
  <c r="D768" i="19"/>
  <c r="C768" i="19"/>
  <c r="G767" i="19"/>
  <c r="F767" i="19"/>
  <c r="E767" i="19"/>
  <c r="D767" i="19"/>
  <c r="C767" i="19"/>
  <c r="F766" i="19"/>
  <c r="E766" i="19"/>
  <c r="F765" i="19"/>
  <c r="E765" i="19"/>
  <c r="F764" i="19"/>
  <c r="E764" i="19"/>
  <c r="F763" i="19"/>
  <c r="E763" i="19"/>
  <c r="F762" i="19"/>
  <c r="E762" i="19"/>
  <c r="F760" i="19"/>
  <c r="E760" i="19"/>
  <c r="F759" i="19"/>
  <c r="E759" i="19"/>
  <c r="F758" i="19"/>
  <c r="E758" i="19"/>
  <c r="F757" i="19"/>
  <c r="E757" i="19"/>
  <c r="F755" i="19"/>
  <c r="E755" i="19"/>
  <c r="D755" i="19"/>
  <c r="C755" i="19"/>
  <c r="F754" i="19"/>
  <c r="E754" i="19"/>
  <c r="D754" i="19"/>
  <c r="C754" i="19"/>
  <c r="F753" i="19"/>
  <c r="E753" i="19"/>
  <c r="D753" i="19"/>
  <c r="C753" i="19"/>
  <c r="G752" i="19"/>
  <c r="F752" i="19"/>
  <c r="E752" i="19"/>
  <c r="D752" i="19"/>
  <c r="C752" i="19"/>
  <c r="F751" i="19"/>
  <c r="E751" i="19"/>
  <c r="F750" i="19"/>
  <c r="E750" i="19"/>
  <c r="F749" i="19"/>
  <c r="E749" i="19"/>
  <c r="F748" i="19"/>
  <c r="E748" i="19"/>
  <c r="F747" i="19"/>
  <c r="E747" i="19"/>
  <c r="F746" i="19"/>
  <c r="E746" i="19"/>
  <c r="F745" i="19"/>
  <c r="E745" i="19"/>
  <c r="E744" i="19"/>
  <c r="F743" i="19"/>
  <c r="E743" i="19"/>
  <c r="F742" i="19"/>
  <c r="E742" i="19"/>
  <c r="F741" i="19"/>
  <c r="E741" i="19"/>
  <c r="F739" i="19"/>
  <c r="E739" i="19"/>
  <c r="D739" i="19"/>
  <c r="C739" i="19"/>
  <c r="F738" i="19"/>
  <c r="E738" i="19"/>
  <c r="D738" i="19"/>
  <c r="C738" i="19"/>
  <c r="G737" i="19"/>
  <c r="G754" i="19" s="1"/>
  <c r="F737" i="19"/>
  <c r="E737" i="19"/>
  <c r="D737" i="19"/>
  <c r="C737" i="19"/>
  <c r="F736" i="19"/>
  <c r="E736" i="19"/>
  <c r="F735" i="19"/>
  <c r="E735" i="19"/>
  <c r="F734" i="19"/>
  <c r="E734" i="19"/>
  <c r="F733" i="19"/>
  <c r="E733" i="19"/>
  <c r="F732" i="19"/>
  <c r="E732" i="19"/>
  <c r="E731" i="19"/>
  <c r="F730" i="19"/>
  <c r="E730" i="19"/>
  <c r="F729" i="19"/>
  <c r="E729" i="19"/>
  <c r="F728" i="19"/>
  <c r="E728" i="19"/>
  <c r="F726" i="19"/>
  <c r="E726" i="19"/>
  <c r="D726" i="19"/>
  <c r="C726" i="19"/>
  <c r="F725" i="19"/>
  <c r="E725" i="19"/>
  <c r="D725" i="19"/>
  <c r="C725" i="19"/>
  <c r="G724" i="19"/>
  <c r="F724" i="19"/>
  <c r="E724" i="19"/>
  <c r="D724" i="19"/>
  <c r="C724" i="19"/>
  <c r="F723" i="19"/>
  <c r="E723" i="19"/>
  <c r="F722" i="19"/>
  <c r="E722" i="19"/>
  <c r="F721" i="19"/>
  <c r="E721" i="19"/>
  <c r="F720" i="19"/>
  <c r="E720" i="19"/>
  <c r="F719" i="19"/>
  <c r="E719" i="19"/>
  <c r="F718" i="19"/>
  <c r="F717" i="19"/>
  <c r="E717" i="19"/>
  <c r="F716" i="19"/>
  <c r="E716" i="19"/>
  <c r="F715" i="19"/>
  <c r="E715" i="19"/>
  <c r="F714" i="19"/>
  <c r="E714" i="19"/>
  <c r="F712" i="19"/>
  <c r="E712" i="19"/>
  <c r="D712" i="19"/>
  <c r="C712" i="19"/>
  <c r="F711" i="19"/>
  <c r="E711" i="19"/>
  <c r="D711" i="19"/>
  <c r="C711" i="19"/>
  <c r="F710" i="19"/>
  <c r="E710" i="19"/>
  <c r="D710" i="19"/>
  <c r="C710" i="19"/>
  <c r="G709" i="19"/>
  <c r="F709" i="19"/>
  <c r="E709" i="19"/>
  <c r="D709" i="19"/>
  <c r="C709" i="19"/>
  <c r="F708" i="19"/>
  <c r="E708" i="19"/>
  <c r="F707" i="19"/>
  <c r="E707" i="19"/>
  <c r="F706" i="19"/>
  <c r="E706" i="19"/>
  <c r="F705" i="19"/>
  <c r="E705" i="19"/>
  <c r="F704" i="19"/>
  <c r="E704" i="19"/>
  <c r="F703" i="19"/>
  <c r="E703" i="19"/>
  <c r="F701" i="19"/>
  <c r="E701" i="19"/>
  <c r="F700" i="19"/>
  <c r="E700" i="19"/>
  <c r="F699" i="19"/>
  <c r="E699" i="19"/>
  <c r="F697" i="19"/>
  <c r="E697" i="19"/>
  <c r="D697" i="19"/>
  <c r="C697" i="19"/>
  <c r="F696" i="19"/>
  <c r="E696" i="19"/>
  <c r="D696" i="19"/>
  <c r="C696" i="19"/>
  <c r="G695" i="19"/>
  <c r="G711" i="19" s="1"/>
  <c r="F695" i="19"/>
  <c r="E695" i="19"/>
  <c r="D695" i="19"/>
  <c r="C695" i="19"/>
  <c r="F694" i="19"/>
  <c r="E694" i="19"/>
  <c r="F693" i="19"/>
  <c r="E693" i="19"/>
  <c r="F692" i="19"/>
  <c r="E692" i="19"/>
  <c r="F691" i="19"/>
  <c r="E691" i="19"/>
  <c r="F690" i="19"/>
  <c r="E690" i="19"/>
  <c r="E689" i="19"/>
  <c r="F688" i="19"/>
  <c r="E688" i="19"/>
  <c r="F687" i="19"/>
  <c r="E687" i="19"/>
  <c r="F686" i="19"/>
  <c r="E686" i="19"/>
  <c r="F684" i="19"/>
  <c r="E684" i="19"/>
  <c r="D684" i="19"/>
  <c r="C684" i="19"/>
  <c r="F683" i="19"/>
  <c r="E683" i="19"/>
  <c r="D683" i="19"/>
  <c r="C683" i="19"/>
  <c r="F682" i="19"/>
  <c r="E682" i="19"/>
  <c r="D682" i="19"/>
  <c r="C682" i="19"/>
  <c r="F681" i="19"/>
  <c r="E681" i="19"/>
  <c r="F680" i="19"/>
  <c r="E680" i="19"/>
  <c r="F679" i="19"/>
  <c r="E679" i="19"/>
  <c r="F678" i="19"/>
  <c r="E678" i="19"/>
  <c r="F677" i="19"/>
  <c r="E677" i="19"/>
  <c r="E676" i="19"/>
  <c r="F675" i="19"/>
  <c r="E675" i="19"/>
  <c r="F674" i="19"/>
  <c r="E674" i="19"/>
  <c r="F673" i="19"/>
  <c r="E673" i="19"/>
  <c r="F672" i="19"/>
  <c r="E672" i="19"/>
  <c r="F670" i="19"/>
  <c r="E670" i="19"/>
  <c r="D670" i="19"/>
  <c r="C670" i="19"/>
  <c r="F669" i="19"/>
  <c r="E669" i="19"/>
  <c r="D669" i="19"/>
  <c r="C669" i="19"/>
  <c r="F668" i="19"/>
  <c r="E668" i="19"/>
  <c r="D668" i="19"/>
  <c r="C668" i="19"/>
  <c r="F667" i="19"/>
  <c r="E667" i="19"/>
  <c r="D667" i="19"/>
  <c r="C667" i="19"/>
  <c r="F666" i="19"/>
  <c r="E666" i="19"/>
  <c r="F665" i="19"/>
  <c r="E665" i="19"/>
  <c r="F664" i="19"/>
  <c r="E664" i="19"/>
  <c r="F663" i="19"/>
  <c r="E663" i="19"/>
  <c r="F662" i="19"/>
  <c r="E662" i="19"/>
  <c r="F661" i="19"/>
  <c r="E661" i="19"/>
  <c r="F659" i="19"/>
  <c r="E659" i="19"/>
  <c r="F658" i="19"/>
  <c r="E658" i="19"/>
  <c r="F657" i="19"/>
  <c r="E657" i="19"/>
  <c r="F655" i="19"/>
  <c r="E655" i="19"/>
  <c r="D655" i="19"/>
  <c r="C655" i="19"/>
  <c r="F654" i="19"/>
  <c r="E654" i="19"/>
  <c r="D654" i="19"/>
  <c r="C654" i="19"/>
  <c r="F653" i="19"/>
  <c r="E653" i="19"/>
  <c r="D653" i="19"/>
  <c r="C653" i="19"/>
  <c r="F652" i="19"/>
  <c r="E652" i="19"/>
  <c r="F651" i="19"/>
  <c r="E651" i="19"/>
  <c r="F650" i="19"/>
  <c r="E650" i="19"/>
  <c r="F649" i="19"/>
  <c r="E649" i="19"/>
  <c r="F648" i="19"/>
  <c r="E648" i="19"/>
  <c r="F646" i="19"/>
  <c r="E646" i="19"/>
  <c r="F645" i="19"/>
  <c r="E645" i="19"/>
  <c r="F644" i="19"/>
  <c r="E644" i="19"/>
  <c r="F642" i="19"/>
  <c r="E642" i="19"/>
  <c r="D642" i="19"/>
  <c r="C642" i="19"/>
  <c r="F641" i="19"/>
  <c r="E641" i="19"/>
  <c r="D641" i="19"/>
  <c r="C641" i="19"/>
  <c r="F640" i="19"/>
  <c r="E640" i="19"/>
  <c r="F639" i="19"/>
  <c r="E639" i="19"/>
  <c r="F638" i="19"/>
  <c r="E638" i="19"/>
  <c r="F637" i="19"/>
  <c r="E637" i="19"/>
  <c r="F636" i="19"/>
  <c r="E636" i="19"/>
  <c r="F634" i="19"/>
  <c r="E634" i="19"/>
  <c r="D634" i="19"/>
  <c r="C634" i="19"/>
  <c r="F633" i="19"/>
  <c r="E633" i="19"/>
  <c r="D633" i="19"/>
  <c r="C633" i="19"/>
  <c r="J632" i="19"/>
  <c r="F632" i="19"/>
  <c r="E632" i="19"/>
  <c r="G631" i="19"/>
  <c r="J631" i="19" s="1"/>
  <c r="E631" i="19"/>
  <c r="J630" i="19"/>
  <c r="F630" i="19"/>
  <c r="E630" i="19"/>
  <c r="J629" i="19"/>
  <c r="F629" i="19"/>
  <c r="E629" i="19"/>
  <c r="J628" i="19"/>
  <c r="F628" i="19"/>
  <c r="E628" i="19"/>
  <c r="H629" i="19"/>
  <c r="F626" i="19"/>
  <c r="E626" i="19"/>
  <c r="D626" i="19"/>
  <c r="C626" i="19"/>
  <c r="F625" i="19"/>
  <c r="E625" i="19"/>
  <c r="D625" i="19"/>
  <c r="C625" i="19"/>
  <c r="J624" i="19"/>
  <c r="F624" i="19"/>
  <c r="E624" i="19"/>
  <c r="J623" i="19"/>
  <c r="F623" i="19"/>
  <c r="E623" i="19"/>
  <c r="F622" i="19"/>
  <c r="E622" i="19"/>
  <c r="J621" i="19"/>
  <c r="F621" i="19"/>
  <c r="E621" i="19"/>
  <c r="J620" i="19"/>
  <c r="F620" i="19"/>
  <c r="E620" i="19"/>
  <c r="J619" i="19"/>
  <c r="F619" i="19"/>
  <c r="E619" i="19"/>
  <c r="H619" i="19"/>
  <c r="F617" i="19"/>
  <c r="E617" i="19"/>
  <c r="D617" i="19"/>
  <c r="C617" i="19"/>
  <c r="F616" i="19"/>
  <c r="E616" i="19"/>
  <c r="D616" i="19"/>
  <c r="C616" i="19"/>
  <c r="F615" i="19"/>
  <c r="E615" i="19"/>
  <c r="D615" i="19"/>
  <c r="C615" i="19"/>
  <c r="F614" i="19"/>
  <c r="E614" i="19"/>
  <c r="F613" i="19"/>
  <c r="E613" i="19"/>
  <c r="F612" i="19"/>
  <c r="E612" i="19"/>
  <c r="F611" i="19"/>
  <c r="E611" i="19"/>
  <c r="F610" i="19"/>
  <c r="E610" i="19"/>
  <c r="F609" i="19"/>
  <c r="E609" i="19"/>
  <c r="F608" i="19"/>
  <c r="E608" i="19"/>
  <c r="F606" i="19"/>
  <c r="E606" i="19"/>
  <c r="D606" i="19"/>
  <c r="C606" i="19"/>
  <c r="G605" i="19"/>
  <c r="F605" i="19"/>
  <c r="E605" i="19"/>
  <c r="D605" i="19"/>
  <c r="C605" i="19"/>
  <c r="J604" i="19"/>
  <c r="F604" i="19"/>
  <c r="E604" i="19"/>
  <c r="J603" i="19"/>
  <c r="F603" i="19"/>
  <c r="E603" i="19"/>
  <c r="G602" i="19"/>
  <c r="F602" i="19"/>
  <c r="E602" i="19"/>
  <c r="J601" i="19"/>
  <c r="F601" i="19"/>
  <c r="E601" i="19"/>
  <c r="J600" i="19"/>
  <c r="F600" i="19"/>
  <c r="E600" i="19"/>
  <c r="J599" i="19"/>
  <c r="F599" i="19"/>
  <c r="E599" i="19"/>
  <c r="F597" i="19"/>
  <c r="E597" i="19"/>
  <c r="D597" i="19"/>
  <c r="C597" i="19"/>
  <c r="F596" i="19"/>
  <c r="E596" i="19"/>
  <c r="D596" i="19"/>
  <c r="C596" i="19"/>
  <c r="F595" i="19"/>
  <c r="E595" i="19"/>
  <c r="F594" i="19"/>
  <c r="E594" i="19"/>
  <c r="F593" i="19"/>
  <c r="E593" i="19"/>
  <c r="F592" i="19"/>
  <c r="E592" i="19"/>
  <c r="F591" i="19"/>
  <c r="E591" i="19"/>
  <c r="F590" i="19"/>
  <c r="E590" i="19"/>
  <c r="F588" i="19"/>
  <c r="E588" i="19"/>
  <c r="D588" i="19"/>
  <c r="C588" i="19"/>
  <c r="J587" i="19"/>
  <c r="F587" i="19"/>
  <c r="E587" i="19"/>
  <c r="D587" i="19"/>
  <c r="C587" i="19"/>
  <c r="J586" i="19"/>
  <c r="F586" i="19"/>
  <c r="E586" i="19"/>
  <c r="D586" i="19"/>
  <c r="J585" i="19"/>
  <c r="F585" i="19"/>
  <c r="E585" i="19"/>
  <c r="J584" i="19"/>
  <c r="F584" i="19"/>
  <c r="E584" i="19"/>
  <c r="J583" i="19"/>
  <c r="F583" i="19"/>
  <c r="E583" i="19"/>
  <c r="F582" i="19"/>
  <c r="E582" i="19"/>
  <c r="J581" i="19"/>
  <c r="F581" i="19"/>
  <c r="E581" i="19"/>
  <c r="J580" i="19"/>
  <c r="F580" i="19"/>
  <c r="E580" i="19"/>
  <c r="J579" i="19"/>
  <c r="F579" i="19"/>
  <c r="E579" i="19"/>
  <c r="H580" i="19"/>
  <c r="F577" i="19"/>
  <c r="E577" i="19"/>
  <c r="D577" i="19"/>
  <c r="F576" i="19"/>
  <c r="F575" i="19"/>
  <c r="G573" i="19"/>
  <c r="K573" i="19" s="1"/>
  <c r="F573" i="19"/>
  <c r="D573" i="19"/>
  <c r="C573" i="19"/>
  <c r="G572" i="19"/>
  <c r="K572" i="19" s="1"/>
  <c r="F572" i="19"/>
  <c r="E572" i="19"/>
  <c r="D572" i="19"/>
  <c r="K571" i="19"/>
  <c r="F571" i="19"/>
  <c r="E571" i="19"/>
  <c r="K570" i="19"/>
  <c r="F570" i="19"/>
  <c r="E570" i="19"/>
  <c r="G569" i="19"/>
  <c r="F569" i="19"/>
  <c r="E569" i="19"/>
  <c r="K568" i="19"/>
  <c r="F568" i="19"/>
  <c r="E568" i="19"/>
  <c r="K567" i="19"/>
  <c r="F567" i="19"/>
  <c r="E567" i="19"/>
  <c r="K566" i="19"/>
  <c r="F566" i="19"/>
  <c r="E566" i="19"/>
  <c r="I565" i="19"/>
  <c r="F564" i="19"/>
  <c r="E564" i="19"/>
  <c r="D564" i="19"/>
  <c r="F563" i="19"/>
  <c r="F561" i="19"/>
  <c r="E561" i="19"/>
  <c r="D561" i="19"/>
  <c r="C561" i="19"/>
  <c r="G560" i="19"/>
  <c r="F560" i="19"/>
  <c r="E560" i="19"/>
  <c r="D560" i="19"/>
  <c r="C560" i="19"/>
  <c r="F559" i="19"/>
  <c r="E559" i="19"/>
  <c r="F558" i="19"/>
  <c r="E558" i="19"/>
  <c r="F557" i="19"/>
  <c r="E557" i="19"/>
  <c r="F556" i="19"/>
  <c r="E556" i="19"/>
  <c r="F555" i="19"/>
  <c r="E555" i="19"/>
  <c r="F554" i="19"/>
  <c r="E554" i="19"/>
  <c r="F552" i="19"/>
  <c r="E552" i="19"/>
  <c r="D552" i="19"/>
  <c r="C552" i="19"/>
  <c r="F551" i="19"/>
  <c r="E551" i="19"/>
  <c r="D551" i="19"/>
  <c r="C551" i="19"/>
  <c r="G550" i="19"/>
  <c r="F550" i="19"/>
  <c r="E550" i="19"/>
  <c r="D550" i="19"/>
  <c r="C550" i="19"/>
  <c r="F549" i="19"/>
  <c r="E549" i="19"/>
  <c r="F548" i="19"/>
  <c r="E548" i="19"/>
  <c r="F547" i="19"/>
  <c r="E547" i="19"/>
  <c r="F546" i="19"/>
  <c r="E546" i="19"/>
  <c r="F545" i="19"/>
  <c r="E545" i="19"/>
  <c r="F544" i="19"/>
  <c r="E544" i="19"/>
  <c r="F543" i="19"/>
  <c r="E543" i="19"/>
  <c r="F541" i="19"/>
  <c r="E541" i="19"/>
  <c r="D541" i="19"/>
  <c r="C541" i="19"/>
  <c r="G540" i="19"/>
  <c r="G551" i="19" s="1"/>
  <c r="F540" i="19"/>
  <c r="E540" i="19"/>
  <c r="D540" i="19"/>
  <c r="C540" i="19"/>
  <c r="F539" i="19"/>
  <c r="E539" i="19"/>
  <c r="F538" i="19"/>
  <c r="E538" i="19"/>
  <c r="F537" i="19"/>
  <c r="E537" i="19"/>
  <c r="F536" i="19"/>
  <c r="E536" i="19"/>
  <c r="F535" i="19"/>
  <c r="E535" i="19"/>
  <c r="F534" i="19"/>
  <c r="E534" i="19"/>
  <c r="F532" i="19"/>
  <c r="E532" i="19"/>
  <c r="D532" i="19"/>
  <c r="C532" i="19"/>
  <c r="F531" i="19"/>
  <c r="E531" i="19"/>
  <c r="D531" i="19"/>
  <c r="C531" i="19"/>
  <c r="G530" i="19"/>
  <c r="F530" i="19"/>
  <c r="E530" i="19"/>
  <c r="D530" i="19"/>
  <c r="C530" i="19"/>
  <c r="F529" i="19"/>
  <c r="E529" i="19"/>
  <c r="F528" i="19"/>
  <c r="E528" i="19"/>
  <c r="F527" i="19"/>
  <c r="E527" i="19"/>
  <c r="F526" i="19"/>
  <c r="E526" i="19"/>
  <c r="F525" i="19"/>
  <c r="E525" i="19"/>
  <c r="F524" i="19"/>
  <c r="E524" i="19"/>
  <c r="F523" i="19"/>
  <c r="E523" i="19"/>
  <c r="F521" i="19"/>
  <c r="E521" i="19"/>
  <c r="D521" i="19"/>
  <c r="F520" i="19"/>
  <c r="F519" i="19"/>
  <c r="F517" i="19"/>
  <c r="E517" i="19"/>
  <c r="D517" i="19"/>
  <c r="C517" i="19"/>
  <c r="G516" i="19"/>
  <c r="F516" i="19"/>
  <c r="E516" i="19"/>
  <c r="D516" i="19"/>
  <c r="F515" i="19"/>
  <c r="E515" i="19"/>
  <c r="F514" i="19"/>
  <c r="E514" i="19"/>
  <c r="F513" i="19"/>
  <c r="E513" i="19"/>
  <c r="F512" i="19"/>
  <c r="E512" i="19"/>
  <c r="F511" i="19"/>
  <c r="E511" i="19"/>
  <c r="F510" i="19"/>
  <c r="E510" i="19"/>
  <c r="F508" i="19"/>
  <c r="E508" i="19"/>
  <c r="F507" i="19"/>
  <c r="E507" i="19"/>
  <c r="F506" i="19"/>
  <c r="E506" i="19"/>
  <c r="F505" i="19"/>
  <c r="E505" i="19"/>
  <c r="G504" i="19"/>
  <c r="F504" i="19"/>
  <c r="E504" i="19"/>
  <c r="F503" i="19"/>
  <c r="E503" i="19"/>
  <c r="F501" i="19"/>
  <c r="E501" i="19"/>
  <c r="D501" i="19"/>
  <c r="C501" i="19"/>
  <c r="G500" i="19"/>
  <c r="G499" i="19" s="1"/>
  <c r="F500" i="19"/>
  <c r="E500" i="19"/>
  <c r="D500" i="19"/>
  <c r="C500" i="19"/>
  <c r="F499" i="19"/>
  <c r="E499" i="19"/>
  <c r="C499" i="19"/>
  <c r="F498" i="19"/>
  <c r="E498" i="19"/>
  <c r="C498" i="19"/>
  <c r="F497" i="19"/>
  <c r="E497" i="19"/>
  <c r="F496" i="19"/>
  <c r="E496" i="19"/>
  <c r="F494" i="19"/>
  <c r="E494" i="19"/>
  <c r="D494" i="19"/>
  <c r="C494" i="19"/>
  <c r="F493" i="19"/>
  <c r="E493" i="19"/>
  <c r="D493" i="19"/>
  <c r="C493" i="19"/>
  <c r="F492" i="19"/>
  <c r="E492" i="19"/>
  <c r="C492" i="19"/>
  <c r="F491" i="19"/>
  <c r="E491" i="19"/>
  <c r="C491" i="19"/>
  <c r="F490" i="19"/>
  <c r="E490" i="19"/>
  <c r="F489" i="19"/>
  <c r="E489" i="19"/>
  <c r="G488" i="19"/>
  <c r="F488" i="19"/>
  <c r="E488" i="19"/>
  <c r="F486" i="19"/>
  <c r="E486" i="19"/>
  <c r="D486" i="19"/>
  <c r="C486" i="19"/>
  <c r="F485" i="19"/>
  <c r="E485" i="19"/>
  <c r="D485" i="19"/>
  <c r="C485" i="19"/>
  <c r="F484" i="19"/>
  <c r="E484" i="19"/>
  <c r="C484" i="19"/>
  <c r="F483" i="19"/>
  <c r="E483" i="19"/>
  <c r="C483" i="19"/>
  <c r="F482" i="19"/>
  <c r="E482" i="19"/>
  <c r="F481" i="19"/>
  <c r="E481" i="19"/>
  <c r="F480" i="19"/>
  <c r="E480" i="19"/>
  <c r="F479" i="19"/>
  <c r="E479" i="19"/>
  <c r="G478" i="19"/>
  <c r="G485" i="19" s="1"/>
  <c r="G484" i="19" s="1"/>
  <c r="F478" i="19"/>
  <c r="E478" i="19"/>
  <c r="F476" i="19"/>
  <c r="E476" i="19"/>
  <c r="D476" i="19"/>
  <c r="C476" i="19"/>
  <c r="F475" i="19"/>
  <c r="E475" i="19"/>
  <c r="D475" i="19"/>
  <c r="C475" i="19"/>
  <c r="F474" i="19"/>
  <c r="E474" i="19"/>
  <c r="C474" i="19"/>
  <c r="F473" i="19"/>
  <c r="E473" i="19"/>
  <c r="C473" i="19"/>
  <c r="F472" i="19"/>
  <c r="E472" i="19"/>
  <c r="F471" i="19"/>
  <c r="E471" i="19"/>
  <c r="F470" i="19"/>
  <c r="E470" i="19"/>
  <c r="F469" i="19"/>
  <c r="E469" i="19"/>
  <c r="G468" i="19"/>
  <c r="G475" i="19" s="1"/>
  <c r="G474" i="19" s="1"/>
  <c r="F468" i="19"/>
  <c r="E468" i="19"/>
  <c r="F466" i="19"/>
  <c r="E466" i="19"/>
  <c r="D466" i="19"/>
  <c r="C466" i="19"/>
  <c r="F465" i="19"/>
  <c r="E465" i="19"/>
  <c r="D465" i="19"/>
  <c r="C465" i="19"/>
  <c r="F464" i="19"/>
  <c r="E464" i="19"/>
  <c r="C464" i="19"/>
  <c r="F463" i="19"/>
  <c r="E463" i="19"/>
  <c r="C463" i="19"/>
  <c r="F462" i="19"/>
  <c r="E462" i="19"/>
  <c r="F461" i="19"/>
  <c r="E461" i="19"/>
  <c r="F460" i="19"/>
  <c r="E460" i="19"/>
  <c r="G459" i="19"/>
  <c r="F459" i="19"/>
  <c r="E459" i="19"/>
  <c r="G458" i="19"/>
  <c r="F458" i="19"/>
  <c r="E458" i="19"/>
  <c r="F456" i="19"/>
  <c r="E456" i="19"/>
  <c r="D456" i="19"/>
  <c r="C456" i="19"/>
  <c r="F455" i="19"/>
  <c r="E455" i="19"/>
  <c r="D455" i="19"/>
  <c r="C455" i="19"/>
  <c r="F454" i="19"/>
  <c r="E454" i="19"/>
  <c r="C454" i="19"/>
  <c r="F453" i="19"/>
  <c r="E453" i="19"/>
  <c r="C453" i="19"/>
  <c r="F452" i="19"/>
  <c r="E452" i="19"/>
  <c r="F451" i="19"/>
  <c r="E451" i="19"/>
  <c r="G450" i="19"/>
  <c r="F450" i="19"/>
  <c r="E450" i="19"/>
  <c r="G449" i="19"/>
  <c r="F449" i="19"/>
  <c r="E449" i="19"/>
  <c r="F447" i="19"/>
  <c r="E447" i="19"/>
  <c r="D447" i="19"/>
  <c r="C447" i="19"/>
  <c r="F446" i="19"/>
  <c r="E446" i="19"/>
  <c r="D446" i="19"/>
  <c r="C446" i="19"/>
  <c r="F445" i="19"/>
  <c r="E445" i="19"/>
  <c r="D445" i="19"/>
  <c r="C445" i="19"/>
  <c r="F444" i="19"/>
  <c r="E444" i="19"/>
  <c r="D444" i="19"/>
  <c r="C444" i="19"/>
  <c r="F443" i="19"/>
  <c r="E443" i="19"/>
  <c r="F442" i="19"/>
  <c r="E442" i="19"/>
  <c r="G441" i="19"/>
  <c r="F441" i="19"/>
  <c r="E441" i="19"/>
  <c r="G440" i="19"/>
  <c r="F440" i="19"/>
  <c r="E440" i="19"/>
  <c r="G439" i="19"/>
  <c r="F439" i="19"/>
  <c r="E439" i="19"/>
  <c r="F437" i="19"/>
  <c r="E437" i="19"/>
  <c r="D437" i="19"/>
  <c r="C437" i="19"/>
  <c r="F436" i="19"/>
  <c r="E436" i="19"/>
  <c r="D436" i="19"/>
  <c r="C436" i="19"/>
  <c r="F435" i="19"/>
  <c r="E435" i="19"/>
  <c r="C435" i="19"/>
  <c r="F434" i="19"/>
  <c r="E434" i="19"/>
  <c r="C434" i="19"/>
  <c r="F433" i="19"/>
  <c r="E433" i="19"/>
  <c r="F432" i="19"/>
  <c r="E432" i="19"/>
  <c r="F431" i="19"/>
  <c r="E431" i="19"/>
  <c r="G430" i="19"/>
  <c r="F430" i="19"/>
  <c r="E430" i="19"/>
  <c r="G429" i="19"/>
  <c r="F429" i="19"/>
  <c r="E429" i="19"/>
  <c r="F427" i="19"/>
  <c r="E427" i="19"/>
  <c r="D427" i="19"/>
  <c r="C427" i="19"/>
  <c r="F426" i="19"/>
  <c r="E426" i="19"/>
  <c r="D426" i="19"/>
  <c r="C426" i="19"/>
  <c r="F425" i="19"/>
  <c r="E425" i="19"/>
  <c r="C425" i="19"/>
  <c r="F424" i="19"/>
  <c r="E424" i="19"/>
  <c r="C424" i="19"/>
  <c r="F423" i="19"/>
  <c r="E423" i="19"/>
  <c r="F422" i="19"/>
  <c r="E422" i="19"/>
  <c r="G421" i="19"/>
  <c r="F421" i="19"/>
  <c r="G420" i="19"/>
  <c r="F420" i="19"/>
  <c r="E420" i="19"/>
  <c r="G419" i="19"/>
  <c r="F419" i="19"/>
  <c r="E419" i="19"/>
  <c r="C417" i="19"/>
  <c r="C416" i="19"/>
  <c r="K415" i="19"/>
  <c r="J415" i="19"/>
  <c r="H415" i="19"/>
  <c r="K414" i="19"/>
  <c r="J414" i="19"/>
  <c r="K413" i="19"/>
  <c r="J413" i="19"/>
  <c r="K412" i="19"/>
  <c r="J412" i="19"/>
  <c r="J411" i="19"/>
  <c r="G411" i="19"/>
  <c r="C409" i="19"/>
  <c r="C408" i="19"/>
  <c r="G407" i="19"/>
  <c r="H407" i="19" s="1"/>
  <c r="K406" i="19"/>
  <c r="H406" i="19"/>
  <c r="K405" i="19"/>
  <c r="H405" i="19"/>
  <c r="G404" i="19"/>
  <c r="K404" i="19" s="1"/>
  <c r="G402" i="19"/>
  <c r="F402" i="19"/>
  <c r="E402" i="19"/>
  <c r="D402" i="19"/>
  <c r="C402" i="19"/>
  <c r="F401" i="19"/>
  <c r="E401" i="19"/>
  <c r="D401" i="19"/>
  <c r="C401" i="19"/>
  <c r="F400" i="19"/>
  <c r="E400" i="19"/>
  <c r="F399" i="19"/>
  <c r="E399" i="19"/>
  <c r="F398" i="19"/>
  <c r="E398" i="19"/>
  <c r="F397" i="19"/>
  <c r="E397" i="19"/>
  <c r="G396" i="19"/>
  <c r="F396" i="19"/>
  <c r="E396" i="19"/>
  <c r="F394" i="19"/>
  <c r="E394" i="19"/>
  <c r="D394" i="19"/>
  <c r="C394" i="19"/>
  <c r="F393" i="19"/>
  <c r="E393" i="19"/>
  <c r="D393" i="19"/>
  <c r="C393" i="19"/>
  <c r="F392" i="19"/>
  <c r="E392" i="19"/>
  <c r="F391" i="19"/>
  <c r="E391" i="19"/>
  <c r="F390" i="19"/>
  <c r="E390" i="19"/>
  <c r="G389" i="19"/>
  <c r="G393" i="19" s="1"/>
  <c r="G392" i="19" s="1"/>
  <c r="F389" i="19"/>
  <c r="E389" i="19"/>
  <c r="F387" i="19"/>
  <c r="E387" i="19"/>
  <c r="D387" i="19"/>
  <c r="C387" i="19"/>
  <c r="F386" i="19"/>
  <c r="E386" i="19"/>
  <c r="D386" i="19"/>
  <c r="C386" i="19"/>
  <c r="F385" i="19"/>
  <c r="E385" i="19"/>
  <c r="D385" i="19"/>
  <c r="C385" i="19"/>
  <c r="F384" i="19"/>
  <c r="E384" i="19"/>
  <c r="D384" i="19"/>
  <c r="F383" i="19"/>
  <c r="E383" i="19"/>
  <c r="F382" i="19"/>
  <c r="E382" i="19"/>
  <c r="F381" i="19"/>
  <c r="E381" i="19"/>
  <c r="F380" i="19"/>
  <c r="E380" i="19"/>
  <c r="G379" i="19"/>
  <c r="F379" i="19"/>
  <c r="E379" i="19"/>
  <c r="G378" i="19"/>
  <c r="F378" i="19"/>
  <c r="E378" i="19"/>
  <c r="H383" i="19"/>
  <c r="F376" i="19"/>
  <c r="E376" i="19"/>
  <c r="D376" i="19"/>
  <c r="C376" i="19"/>
  <c r="F375" i="19"/>
  <c r="E375" i="19"/>
  <c r="D375" i="19"/>
  <c r="C375" i="19"/>
  <c r="F374" i="19"/>
  <c r="E374" i="19"/>
  <c r="D374" i="19"/>
  <c r="C374" i="19"/>
  <c r="J373" i="19"/>
  <c r="F373" i="19"/>
  <c r="E373" i="19"/>
  <c r="D373" i="19"/>
  <c r="J372" i="19"/>
  <c r="F372" i="19"/>
  <c r="E372" i="19"/>
  <c r="J371" i="19"/>
  <c r="F371" i="19"/>
  <c r="E371" i="19"/>
  <c r="F370" i="19"/>
  <c r="J369" i="19"/>
  <c r="F369" i="19"/>
  <c r="E369" i="19"/>
  <c r="H371" i="19"/>
  <c r="F367" i="19"/>
  <c r="E367" i="19"/>
  <c r="D367" i="19"/>
  <c r="C367" i="19"/>
  <c r="F366" i="19"/>
  <c r="E366" i="19"/>
  <c r="D366" i="19"/>
  <c r="C366" i="19"/>
  <c r="F365" i="19"/>
  <c r="E365" i="19"/>
  <c r="D365" i="19"/>
  <c r="C365" i="19"/>
  <c r="F364" i="19"/>
  <c r="E364" i="19"/>
  <c r="D364" i="19"/>
  <c r="C364" i="19"/>
  <c r="F363" i="19"/>
  <c r="E363" i="19"/>
  <c r="F362" i="19"/>
  <c r="E362" i="19"/>
  <c r="F361" i="19"/>
  <c r="E361" i="19"/>
  <c r="G360" i="19"/>
  <c r="F360" i="19"/>
  <c r="E360" i="19"/>
  <c r="G359" i="19"/>
  <c r="F359" i="19"/>
  <c r="E359" i="19"/>
  <c r="G358" i="19"/>
  <c r="F358" i="19"/>
  <c r="E358" i="19"/>
  <c r="F356" i="19"/>
  <c r="E356" i="19"/>
  <c r="D356" i="19"/>
  <c r="C356" i="19"/>
  <c r="F355" i="19"/>
  <c r="E355" i="19"/>
  <c r="D355" i="19"/>
  <c r="C355" i="19"/>
  <c r="F354" i="19"/>
  <c r="E354" i="19"/>
  <c r="D354" i="19"/>
  <c r="C354" i="19"/>
  <c r="F353" i="19"/>
  <c r="E353" i="19"/>
  <c r="D353" i="19"/>
  <c r="C353" i="19"/>
  <c r="F352" i="19"/>
  <c r="E352" i="19"/>
  <c r="F351" i="19"/>
  <c r="E351" i="19"/>
  <c r="G350" i="19"/>
  <c r="F350" i="19"/>
  <c r="E350" i="19"/>
  <c r="G349" i="19"/>
  <c r="F349" i="19"/>
  <c r="E349" i="19"/>
  <c r="G348" i="19"/>
  <c r="F348" i="19"/>
  <c r="E348" i="19"/>
  <c r="F346" i="19"/>
  <c r="E346" i="19"/>
  <c r="D346" i="19"/>
  <c r="C346" i="19"/>
  <c r="F345" i="19"/>
  <c r="E345" i="19"/>
  <c r="D345" i="19"/>
  <c r="C345" i="19"/>
  <c r="F344" i="19"/>
  <c r="E344" i="19"/>
  <c r="D344" i="19"/>
  <c r="C344" i="19"/>
  <c r="F343" i="19"/>
  <c r="E343" i="19"/>
  <c r="D343" i="19"/>
  <c r="C343" i="19"/>
  <c r="F342" i="19"/>
  <c r="E342" i="19"/>
  <c r="F341" i="19"/>
  <c r="E341" i="19"/>
  <c r="F340" i="19"/>
  <c r="E340" i="19"/>
  <c r="G339" i="19"/>
  <c r="F339" i="19"/>
  <c r="E339" i="19"/>
  <c r="G338" i="19"/>
  <c r="F338" i="19"/>
  <c r="E338" i="19"/>
  <c r="F336" i="19"/>
  <c r="E336" i="19"/>
  <c r="D336" i="19"/>
  <c r="C336" i="19"/>
  <c r="F335" i="19"/>
  <c r="E335" i="19"/>
  <c r="D335" i="19"/>
  <c r="C335" i="19"/>
  <c r="F334" i="19"/>
  <c r="E334" i="19"/>
  <c r="D334" i="19"/>
  <c r="C334" i="19"/>
  <c r="F333" i="19"/>
  <c r="E333" i="19"/>
  <c r="D333" i="19"/>
  <c r="C333" i="19"/>
  <c r="F332" i="19"/>
  <c r="E332" i="19"/>
  <c r="F331" i="19"/>
  <c r="E331" i="19"/>
  <c r="G330" i="19"/>
  <c r="F330" i="19"/>
  <c r="E330" i="19"/>
  <c r="G329" i="19"/>
  <c r="F329" i="19"/>
  <c r="E329" i="19"/>
  <c r="F327" i="19"/>
  <c r="E327" i="19"/>
  <c r="D327" i="19"/>
  <c r="C327" i="19"/>
  <c r="F326" i="19"/>
  <c r="E326" i="19"/>
  <c r="D326" i="19"/>
  <c r="C326" i="19"/>
  <c r="F325" i="19"/>
  <c r="E325" i="19"/>
  <c r="D325" i="19"/>
  <c r="C325" i="19"/>
  <c r="F324" i="19"/>
  <c r="E324" i="19"/>
  <c r="D324" i="19"/>
  <c r="C324" i="19"/>
  <c r="G322" i="19"/>
  <c r="F322" i="19"/>
  <c r="E322" i="19"/>
  <c r="D322" i="19"/>
  <c r="C322" i="19"/>
  <c r="G321" i="19"/>
  <c r="G320" i="19" s="1"/>
  <c r="F321" i="19"/>
  <c r="E321" i="19"/>
  <c r="D321" i="19"/>
  <c r="C321" i="19"/>
  <c r="F320" i="19"/>
  <c r="E320" i="19"/>
  <c r="D320" i="19"/>
  <c r="C320" i="19"/>
  <c r="F319" i="19"/>
  <c r="E319" i="19"/>
  <c r="D319" i="19"/>
  <c r="C319" i="19"/>
  <c r="F318" i="19"/>
  <c r="E318" i="19"/>
  <c r="F317" i="19"/>
  <c r="E317" i="19"/>
  <c r="F316" i="19"/>
  <c r="E316" i="19"/>
  <c r="G315" i="19"/>
  <c r="F315" i="19"/>
  <c r="E315" i="19"/>
  <c r="G314" i="19"/>
  <c r="F314" i="19"/>
  <c r="E314" i="19"/>
  <c r="F312" i="19"/>
  <c r="E312" i="19"/>
  <c r="D312" i="19"/>
  <c r="C312" i="19"/>
  <c r="F311" i="19"/>
  <c r="E311" i="19"/>
  <c r="D311" i="19"/>
  <c r="C311" i="19"/>
  <c r="F310" i="19"/>
  <c r="E310" i="19"/>
  <c r="D310" i="19"/>
  <c r="C310" i="19"/>
  <c r="F309" i="19"/>
  <c r="E309" i="19"/>
  <c r="D309" i="19"/>
  <c r="C309" i="19"/>
  <c r="F308" i="19"/>
  <c r="E308" i="19"/>
  <c r="F307" i="19"/>
  <c r="E307" i="19"/>
  <c r="G306" i="19"/>
  <c r="F306" i="19"/>
  <c r="E306" i="19"/>
  <c r="G305" i="19"/>
  <c r="F305" i="19"/>
  <c r="E305" i="19"/>
  <c r="G303" i="19"/>
  <c r="F303" i="19"/>
  <c r="E303" i="19"/>
  <c r="D303" i="19"/>
  <c r="C303" i="19"/>
  <c r="F302" i="19"/>
  <c r="E302" i="19"/>
  <c r="D302" i="19"/>
  <c r="C302" i="19"/>
  <c r="F301" i="19"/>
  <c r="E301" i="19"/>
  <c r="D301" i="19"/>
  <c r="C301" i="19"/>
  <c r="F300" i="19"/>
  <c r="E300" i="19"/>
  <c r="D300" i="19"/>
  <c r="C300" i="19"/>
  <c r="F299" i="19"/>
  <c r="E299" i="19"/>
  <c r="F298" i="19"/>
  <c r="E298" i="19"/>
  <c r="F297" i="19"/>
  <c r="E297" i="19"/>
  <c r="F296" i="19"/>
  <c r="E296" i="19"/>
  <c r="G295" i="19"/>
  <c r="F295" i="19"/>
  <c r="E295" i="19"/>
  <c r="G294" i="19"/>
  <c r="F294" i="19"/>
  <c r="E294" i="19"/>
  <c r="G292" i="19"/>
  <c r="F292" i="19"/>
  <c r="E292" i="19"/>
  <c r="D292" i="19"/>
  <c r="C292" i="19"/>
  <c r="F291" i="19"/>
  <c r="E291" i="19"/>
  <c r="D291" i="19"/>
  <c r="C291" i="19"/>
  <c r="F290" i="19"/>
  <c r="E290" i="19"/>
  <c r="D290" i="19"/>
  <c r="C290" i="19"/>
  <c r="J289" i="19"/>
  <c r="F289" i="19"/>
  <c r="E289" i="19"/>
  <c r="D289" i="19"/>
  <c r="J288" i="19"/>
  <c r="F288" i="19"/>
  <c r="E288" i="19"/>
  <c r="J287" i="19"/>
  <c r="F287" i="19"/>
  <c r="E287" i="19"/>
  <c r="J286" i="19"/>
  <c r="F286" i="19"/>
  <c r="E286" i="19"/>
  <c r="J285" i="19"/>
  <c r="F285" i="19"/>
  <c r="E285" i="19"/>
  <c r="J284" i="19"/>
  <c r="F284" i="19"/>
  <c r="E284" i="19"/>
  <c r="J283" i="19"/>
  <c r="F283" i="19"/>
  <c r="E283" i="19"/>
  <c r="H281" i="19"/>
  <c r="C281" i="19" s="1"/>
  <c r="F281" i="19"/>
  <c r="E281" i="19"/>
  <c r="D281" i="19"/>
  <c r="H280" i="19"/>
  <c r="C280" i="19" s="1"/>
  <c r="F280" i="19"/>
  <c r="E280" i="19"/>
  <c r="D280" i="19"/>
  <c r="G279" i="19"/>
  <c r="F279" i="19"/>
  <c r="E279" i="19"/>
  <c r="H278" i="19"/>
  <c r="C278" i="19" s="1"/>
  <c r="F278" i="19"/>
  <c r="E278" i="19"/>
  <c r="G276" i="19"/>
  <c r="F276" i="19"/>
  <c r="E276" i="19"/>
  <c r="D276" i="19"/>
  <c r="F275" i="19"/>
  <c r="E275" i="19"/>
  <c r="D275" i="19"/>
  <c r="F274" i="19"/>
  <c r="E274" i="19"/>
  <c r="D274" i="19"/>
  <c r="F273" i="19"/>
  <c r="E273" i="19"/>
  <c r="D273" i="19"/>
  <c r="F272" i="19"/>
  <c r="E272" i="19"/>
  <c r="F271" i="19"/>
  <c r="E271" i="19"/>
  <c r="G270" i="19"/>
  <c r="F270" i="19"/>
  <c r="E270" i="19"/>
  <c r="G269" i="19"/>
  <c r="F269" i="19"/>
  <c r="E269" i="19"/>
  <c r="G267" i="19"/>
  <c r="F267" i="19"/>
  <c r="E267" i="19"/>
  <c r="D267" i="19"/>
  <c r="C267" i="19"/>
  <c r="F266" i="19"/>
  <c r="E266" i="19"/>
  <c r="D266" i="19"/>
  <c r="C266" i="19"/>
  <c r="F265" i="19"/>
  <c r="E265" i="19"/>
  <c r="D265" i="19"/>
  <c r="C265" i="19"/>
  <c r="J264" i="19"/>
  <c r="F264" i="19"/>
  <c r="E264" i="19"/>
  <c r="D264" i="19"/>
  <c r="J263" i="19"/>
  <c r="F263" i="19"/>
  <c r="E263" i="19"/>
  <c r="J262" i="19"/>
  <c r="F262" i="19"/>
  <c r="E262" i="19"/>
  <c r="F261" i="19"/>
  <c r="E261" i="19"/>
  <c r="C261" i="19"/>
  <c r="F260" i="19"/>
  <c r="E260" i="19"/>
  <c r="C260" i="19"/>
  <c r="G259" i="19"/>
  <c r="F259" i="19"/>
  <c r="E259" i="19"/>
  <c r="G258" i="19"/>
  <c r="F258" i="19"/>
  <c r="E258" i="19"/>
  <c r="F256" i="19"/>
  <c r="E256" i="19"/>
  <c r="D256" i="19"/>
  <c r="C256" i="19"/>
  <c r="F255" i="19"/>
  <c r="E255" i="19"/>
  <c r="D255" i="19"/>
  <c r="C255" i="19"/>
  <c r="F254" i="19"/>
  <c r="E254" i="19"/>
  <c r="D254" i="19"/>
  <c r="C254" i="19"/>
  <c r="F253" i="19"/>
  <c r="E253" i="19"/>
  <c r="D253" i="19"/>
  <c r="C253" i="19"/>
  <c r="F252" i="19"/>
  <c r="E252" i="19"/>
  <c r="F251" i="19"/>
  <c r="E251" i="19"/>
  <c r="F250" i="19"/>
  <c r="E250" i="19"/>
  <c r="F249" i="19"/>
  <c r="E249" i="19"/>
  <c r="G248" i="19"/>
  <c r="F248" i="19"/>
  <c r="E248" i="19"/>
  <c r="G247" i="19"/>
  <c r="F247" i="19"/>
  <c r="E247" i="19"/>
  <c r="F245" i="19"/>
  <c r="E245" i="19"/>
  <c r="D245" i="19"/>
  <c r="C245" i="19"/>
  <c r="F244" i="19"/>
  <c r="E244" i="19"/>
  <c r="D244" i="19"/>
  <c r="C244" i="19"/>
  <c r="F243" i="19"/>
  <c r="E243" i="19"/>
  <c r="D243" i="19"/>
  <c r="C243" i="19"/>
  <c r="F242" i="19"/>
  <c r="E242" i="19"/>
  <c r="D242" i="19"/>
  <c r="C242" i="19"/>
  <c r="F241" i="19"/>
  <c r="E241" i="19"/>
  <c r="F240" i="19"/>
  <c r="E240" i="19"/>
  <c r="G239" i="19"/>
  <c r="F239" i="19"/>
  <c r="E239" i="19"/>
  <c r="G238" i="19"/>
  <c r="F238" i="19"/>
  <c r="E238" i="19"/>
  <c r="G236" i="19"/>
  <c r="F236" i="19"/>
  <c r="E236" i="19"/>
  <c r="D236" i="19"/>
  <c r="C236" i="19"/>
  <c r="F235" i="19"/>
  <c r="E235" i="19"/>
  <c r="D235" i="19"/>
  <c r="C235" i="19"/>
  <c r="F234" i="19"/>
  <c r="E234" i="19"/>
  <c r="D234" i="19"/>
  <c r="C234" i="19"/>
  <c r="K233" i="19"/>
  <c r="J233" i="19"/>
  <c r="F233" i="19"/>
  <c r="E233" i="19"/>
  <c r="D233" i="19"/>
  <c r="K232" i="19"/>
  <c r="J232" i="19"/>
  <c r="F232" i="19"/>
  <c r="E232" i="19"/>
  <c r="K231" i="19"/>
  <c r="J231" i="19"/>
  <c r="F231" i="19"/>
  <c r="E231" i="19"/>
  <c r="K230" i="19"/>
  <c r="J230" i="19"/>
  <c r="F230" i="19"/>
  <c r="E230" i="19"/>
  <c r="K229" i="19"/>
  <c r="J229" i="19"/>
  <c r="F229" i="19"/>
  <c r="E229" i="19"/>
  <c r="J228" i="19"/>
  <c r="G228" i="19"/>
  <c r="K228" i="19" s="1"/>
  <c r="F228" i="19"/>
  <c r="E228" i="19"/>
  <c r="G227" i="19"/>
  <c r="F227" i="19"/>
  <c r="E227" i="19"/>
  <c r="F225" i="19"/>
  <c r="E225" i="19"/>
  <c r="D225" i="19"/>
  <c r="C225" i="19"/>
  <c r="F224" i="19"/>
  <c r="E224" i="19"/>
  <c r="D224" i="19"/>
  <c r="C224" i="19"/>
  <c r="F223" i="19"/>
  <c r="E223" i="19"/>
  <c r="D223" i="19"/>
  <c r="C223" i="19"/>
  <c r="F222" i="19"/>
  <c r="E222" i="19"/>
  <c r="D222" i="19"/>
  <c r="C222" i="19"/>
  <c r="F221" i="19"/>
  <c r="E221" i="19"/>
  <c r="F220" i="19"/>
  <c r="E220" i="19"/>
  <c r="F219" i="19"/>
  <c r="E219" i="19"/>
  <c r="F218" i="19"/>
  <c r="E218" i="19"/>
  <c r="F217" i="19"/>
  <c r="E217" i="19"/>
  <c r="F215" i="19"/>
  <c r="E215" i="19"/>
  <c r="D215" i="19"/>
  <c r="C215" i="19"/>
  <c r="F214" i="19"/>
  <c r="E214" i="19"/>
  <c r="D214" i="19"/>
  <c r="C214" i="19"/>
  <c r="F213" i="19"/>
  <c r="E213" i="19"/>
  <c r="D213" i="19"/>
  <c r="C213" i="19"/>
  <c r="F212" i="19"/>
  <c r="E212" i="19"/>
  <c r="D212" i="19"/>
  <c r="C212" i="19"/>
  <c r="F211" i="19"/>
  <c r="E211" i="19"/>
  <c r="F210" i="19"/>
  <c r="E210" i="19"/>
  <c r="F209" i="19"/>
  <c r="E209" i="19"/>
  <c r="F208" i="19"/>
  <c r="E208" i="19"/>
  <c r="F207" i="19"/>
  <c r="E207" i="19"/>
  <c r="G205" i="19"/>
  <c r="F204" i="19"/>
  <c r="E204" i="19"/>
  <c r="D204" i="19"/>
  <c r="C204" i="19"/>
  <c r="F203" i="19"/>
  <c r="E203" i="19"/>
  <c r="D203" i="19"/>
  <c r="C203" i="19"/>
  <c r="F202" i="19"/>
  <c r="E202" i="19"/>
  <c r="D202" i="19"/>
  <c r="C202" i="19"/>
  <c r="F201" i="19"/>
  <c r="E201" i="19"/>
  <c r="D201" i="19"/>
  <c r="C201" i="19"/>
  <c r="F200" i="19"/>
  <c r="E200" i="19"/>
  <c r="F199" i="19"/>
  <c r="E199" i="19"/>
  <c r="F197" i="19"/>
  <c r="E197" i="19"/>
  <c r="D197" i="19"/>
  <c r="C197" i="19"/>
  <c r="F196" i="19"/>
  <c r="E196" i="19"/>
  <c r="D196" i="19"/>
  <c r="C196" i="19"/>
  <c r="F195" i="19"/>
  <c r="E195" i="19"/>
  <c r="D195" i="19"/>
  <c r="C195" i="19"/>
  <c r="F194" i="19"/>
  <c r="E194" i="19"/>
  <c r="D194" i="19"/>
  <c r="C194" i="19"/>
  <c r="F193" i="19"/>
  <c r="E193" i="19"/>
  <c r="F192" i="19"/>
  <c r="E192" i="19"/>
  <c r="H192" i="19"/>
  <c r="C192" i="19" s="1"/>
  <c r="F190" i="19"/>
  <c r="E190" i="19"/>
  <c r="D190" i="19"/>
  <c r="C190" i="19"/>
  <c r="F189" i="19"/>
  <c r="E189" i="19"/>
  <c r="F188" i="19"/>
  <c r="E188" i="19"/>
  <c r="G186" i="19"/>
  <c r="F186" i="19"/>
  <c r="E186" i="19"/>
  <c r="D186" i="19"/>
  <c r="C186" i="19"/>
  <c r="G185" i="19"/>
  <c r="F185" i="19"/>
  <c r="E185" i="19"/>
  <c r="D185" i="19"/>
  <c r="C185" i="19"/>
  <c r="G184" i="19"/>
  <c r="F184" i="19"/>
  <c r="E184" i="19"/>
  <c r="D184" i="19"/>
  <c r="C184" i="19"/>
  <c r="J183" i="19"/>
  <c r="F183" i="19"/>
  <c r="E183" i="19"/>
  <c r="D183" i="19"/>
  <c r="J182" i="19"/>
  <c r="F182" i="19"/>
  <c r="E182" i="19"/>
  <c r="J181" i="19"/>
  <c r="F181" i="19"/>
  <c r="E181" i="19"/>
  <c r="H183" i="19"/>
  <c r="G179" i="19"/>
  <c r="F179" i="19"/>
  <c r="E179" i="19"/>
  <c r="D179" i="19"/>
  <c r="C179" i="19"/>
  <c r="G178" i="19"/>
  <c r="F178" i="19"/>
  <c r="E178" i="19"/>
  <c r="D178" i="19"/>
  <c r="C178" i="19"/>
  <c r="G177" i="19"/>
  <c r="F177" i="19"/>
  <c r="E177" i="19"/>
  <c r="D177" i="19"/>
  <c r="C177" i="19"/>
  <c r="F176" i="19"/>
  <c r="E176" i="19"/>
  <c r="D176" i="19"/>
  <c r="C176" i="19"/>
  <c r="F175" i="19"/>
  <c r="E175" i="19"/>
  <c r="F174" i="19"/>
  <c r="E174" i="19"/>
  <c r="F172" i="19"/>
  <c r="D172" i="19"/>
  <c r="C172" i="19"/>
  <c r="F170" i="19"/>
  <c r="E170" i="19"/>
  <c r="D170" i="19"/>
  <c r="C170" i="19"/>
  <c r="F169" i="19"/>
  <c r="E169" i="19"/>
  <c r="D169" i="19"/>
  <c r="C169" i="19"/>
  <c r="F168" i="19"/>
  <c r="E168" i="19"/>
  <c r="D168" i="19"/>
  <c r="C168" i="19"/>
  <c r="F167" i="19"/>
  <c r="E167" i="19"/>
  <c r="D167" i="19"/>
  <c r="F166" i="19"/>
  <c r="E166" i="19"/>
  <c r="F165" i="19"/>
  <c r="E165" i="19"/>
  <c r="F163" i="19"/>
  <c r="E163" i="19"/>
  <c r="D163" i="19"/>
  <c r="C163" i="19"/>
  <c r="F162" i="19"/>
  <c r="E162" i="19"/>
  <c r="D162" i="19"/>
  <c r="F161" i="19"/>
  <c r="E161" i="19"/>
  <c r="D161" i="19"/>
  <c r="F160" i="19"/>
  <c r="D160" i="19"/>
  <c r="F159" i="19"/>
  <c r="F157" i="19"/>
  <c r="E157" i="19"/>
  <c r="D157" i="19"/>
  <c r="C157" i="19"/>
  <c r="F156" i="19"/>
  <c r="D156" i="19"/>
  <c r="C156" i="19"/>
  <c r="F155" i="19"/>
  <c r="F153" i="19"/>
  <c r="E153" i="19"/>
  <c r="D153" i="19"/>
  <c r="C153" i="19"/>
  <c r="F152" i="19"/>
  <c r="E152" i="19"/>
  <c r="D152" i="19"/>
  <c r="C152" i="19"/>
  <c r="F151" i="19"/>
  <c r="E151" i="19"/>
  <c r="D151" i="19"/>
  <c r="C151" i="19"/>
  <c r="F150" i="19"/>
  <c r="E150" i="19"/>
  <c r="D150" i="19"/>
  <c r="F149" i="19"/>
  <c r="E149" i="19"/>
  <c r="F148" i="19"/>
  <c r="E148" i="19"/>
  <c r="F146" i="19"/>
  <c r="E146" i="19"/>
  <c r="D146" i="19"/>
  <c r="C146" i="19"/>
  <c r="F145" i="19"/>
  <c r="E145" i="19"/>
  <c r="D145" i="19"/>
  <c r="C145" i="19"/>
  <c r="F144" i="19"/>
  <c r="E144" i="19"/>
  <c r="D144" i="19"/>
  <c r="C144" i="19"/>
  <c r="F143" i="19"/>
  <c r="E143" i="19"/>
  <c r="D143" i="19"/>
  <c r="F142" i="19"/>
  <c r="E142" i="19"/>
  <c r="F141" i="19"/>
  <c r="E141" i="19"/>
  <c r="F139" i="19"/>
  <c r="E139" i="19"/>
  <c r="D139" i="19"/>
  <c r="C139" i="19"/>
  <c r="F138" i="19"/>
  <c r="E138" i="19"/>
  <c r="D138" i="19"/>
  <c r="C138" i="19"/>
  <c r="F137" i="19"/>
  <c r="E137" i="19"/>
  <c r="D137" i="19"/>
  <c r="C137" i="19"/>
  <c r="F136" i="19"/>
  <c r="E136" i="19"/>
  <c r="D136" i="19"/>
  <c r="F135" i="19"/>
  <c r="E135" i="19"/>
  <c r="F134" i="19"/>
  <c r="E134" i="19"/>
  <c r="G132" i="19"/>
  <c r="F131" i="19"/>
  <c r="E131" i="19"/>
  <c r="D131" i="19"/>
  <c r="C131" i="19"/>
  <c r="F130" i="19"/>
  <c r="E130" i="19"/>
  <c r="D130" i="19"/>
  <c r="C130" i="19"/>
  <c r="G129" i="19"/>
  <c r="F129" i="19"/>
  <c r="E129" i="19"/>
  <c r="D129" i="19"/>
  <c r="C129" i="19"/>
  <c r="F128" i="19"/>
  <c r="E128" i="19"/>
  <c r="D128" i="19"/>
  <c r="C128" i="19"/>
  <c r="G127" i="19"/>
  <c r="F127" i="19"/>
  <c r="E127" i="19"/>
  <c r="D127" i="19"/>
  <c r="C127" i="19"/>
  <c r="F126" i="19"/>
  <c r="E126" i="19"/>
  <c r="D126" i="19"/>
  <c r="C126" i="19"/>
  <c r="F125" i="19"/>
  <c r="E125" i="19"/>
  <c r="F124" i="19"/>
  <c r="E124" i="19"/>
  <c r="F123" i="19"/>
  <c r="E123" i="19"/>
  <c r="F122" i="19"/>
  <c r="E122" i="19"/>
  <c r="F121" i="19"/>
  <c r="E121" i="19"/>
  <c r="F120" i="19"/>
  <c r="E120" i="19"/>
  <c r="F119" i="19"/>
  <c r="E119" i="19"/>
  <c r="G118" i="19"/>
  <c r="G126" i="19" s="1"/>
  <c r="F118" i="19"/>
  <c r="E118" i="19"/>
  <c r="F116" i="19"/>
  <c r="E116" i="19"/>
  <c r="D116" i="19"/>
  <c r="C116" i="19"/>
  <c r="F115" i="19"/>
  <c r="E115" i="19"/>
  <c r="D115" i="19"/>
  <c r="C115" i="19"/>
  <c r="F114" i="19"/>
  <c r="E114" i="19"/>
  <c r="F113" i="19"/>
  <c r="E113" i="19"/>
  <c r="F112" i="19"/>
  <c r="E112" i="19"/>
  <c r="F111" i="19"/>
  <c r="E111" i="19"/>
  <c r="G110" i="19"/>
  <c r="F110" i="19"/>
  <c r="E110" i="19"/>
  <c r="G109" i="19"/>
  <c r="F109" i="19"/>
  <c r="E109" i="19"/>
  <c r="F107" i="19"/>
  <c r="E107" i="19"/>
  <c r="D107" i="19"/>
  <c r="C107" i="19"/>
  <c r="F106" i="19"/>
  <c r="E106" i="19"/>
  <c r="D106" i="19"/>
  <c r="C106" i="19"/>
  <c r="F105" i="19"/>
  <c r="E105" i="19"/>
  <c r="D105" i="19"/>
  <c r="C105" i="19"/>
  <c r="F104" i="19"/>
  <c r="E104" i="19"/>
  <c r="D104" i="19"/>
  <c r="C104" i="19"/>
  <c r="F103" i="19"/>
  <c r="E103" i="19"/>
  <c r="F102" i="19"/>
  <c r="E102" i="19"/>
  <c r="G101" i="19"/>
  <c r="G104" i="19" s="1"/>
  <c r="F101" i="19"/>
  <c r="E101" i="19"/>
  <c r="F99" i="19"/>
  <c r="E99" i="19"/>
  <c r="D99" i="19"/>
  <c r="F98" i="19"/>
  <c r="E98" i="19"/>
  <c r="D98" i="19"/>
  <c r="F97" i="19"/>
  <c r="E97" i="19"/>
  <c r="D97" i="19"/>
  <c r="F96" i="19"/>
  <c r="E96" i="19"/>
  <c r="D96" i="19"/>
  <c r="F95" i="19"/>
  <c r="E95" i="19"/>
  <c r="F94" i="19"/>
  <c r="E94" i="19"/>
  <c r="F93" i="19"/>
  <c r="E93" i="19"/>
  <c r="F92" i="19"/>
  <c r="E92" i="19"/>
  <c r="G91" i="19"/>
  <c r="F91" i="19"/>
  <c r="E91" i="19"/>
  <c r="F89" i="19"/>
  <c r="E89" i="19"/>
  <c r="D89" i="19"/>
  <c r="F88" i="19"/>
  <c r="E88" i="19"/>
  <c r="D88" i="19"/>
  <c r="G87" i="19"/>
  <c r="F87" i="19"/>
  <c r="E87" i="19"/>
  <c r="D87" i="19"/>
  <c r="F86" i="19"/>
  <c r="E86" i="19"/>
  <c r="D86" i="19"/>
  <c r="F85" i="19"/>
  <c r="E85" i="19"/>
  <c r="F84" i="19"/>
  <c r="E84" i="19"/>
  <c r="F83" i="19"/>
  <c r="E83" i="19"/>
  <c r="F82" i="19"/>
  <c r="E82" i="19"/>
  <c r="G81" i="19"/>
  <c r="G86" i="19" s="1"/>
  <c r="F81" i="19"/>
  <c r="E81" i="19"/>
  <c r="F79" i="19"/>
  <c r="E79" i="19"/>
  <c r="D79" i="19"/>
  <c r="F78" i="19"/>
  <c r="E78" i="19"/>
  <c r="D78" i="19"/>
  <c r="F77" i="19"/>
  <c r="E77" i="19"/>
  <c r="D77" i="19"/>
  <c r="C77" i="19"/>
  <c r="G76" i="19"/>
  <c r="F76" i="19"/>
  <c r="E76" i="19"/>
  <c r="D76" i="19"/>
  <c r="F75" i="19"/>
  <c r="E75" i="19"/>
  <c r="D75" i="19"/>
  <c r="F74" i="19"/>
  <c r="E74" i="19"/>
  <c r="F73" i="19"/>
  <c r="E73" i="19"/>
  <c r="F72" i="19"/>
  <c r="E72" i="19"/>
  <c r="F71" i="19"/>
  <c r="E71" i="19"/>
  <c r="G70" i="19"/>
  <c r="G75" i="19" s="1"/>
  <c r="F70" i="19"/>
  <c r="E70" i="19"/>
  <c r="F68" i="19"/>
  <c r="E68" i="19"/>
  <c r="D68" i="19"/>
  <c r="G67" i="19"/>
  <c r="F67" i="19"/>
  <c r="E67" i="19"/>
  <c r="D67" i="19"/>
  <c r="G66" i="19"/>
  <c r="F66" i="19"/>
  <c r="E66" i="19"/>
  <c r="D66" i="19"/>
  <c r="F65" i="19"/>
  <c r="E65" i="19"/>
  <c r="D65" i="19"/>
  <c r="F64" i="19"/>
  <c r="E64" i="19"/>
  <c r="G63" i="19"/>
  <c r="F63" i="19"/>
  <c r="E63" i="19"/>
  <c r="G62" i="19"/>
  <c r="F62" i="19"/>
  <c r="E62" i="19"/>
  <c r="F61" i="19"/>
  <c r="E61" i="19"/>
  <c r="G60" i="19"/>
  <c r="F60" i="19"/>
  <c r="E60" i="19"/>
  <c r="F58" i="19"/>
  <c r="E58" i="19"/>
  <c r="D58" i="19"/>
  <c r="F57" i="19"/>
  <c r="E57" i="19"/>
  <c r="D57" i="19"/>
  <c r="G56" i="19"/>
  <c r="F56" i="19"/>
  <c r="E56" i="19"/>
  <c r="D56" i="19"/>
  <c r="F55" i="19"/>
  <c r="E55" i="19"/>
  <c r="D55" i="19"/>
  <c r="F54" i="19"/>
  <c r="E54" i="19"/>
  <c r="F53" i="19"/>
  <c r="E53" i="19"/>
  <c r="F52" i="19"/>
  <c r="E52" i="19"/>
  <c r="F51" i="19"/>
  <c r="E51" i="19"/>
  <c r="G50" i="19"/>
  <c r="G55" i="19" s="1"/>
  <c r="F50" i="19"/>
  <c r="E50" i="19"/>
  <c r="F48" i="19"/>
  <c r="E48" i="19"/>
  <c r="D48" i="19"/>
  <c r="C48" i="19"/>
  <c r="F47" i="19"/>
  <c r="E47" i="19"/>
  <c r="D47" i="19"/>
  <c r="C47" i="19"/>
  <c r="F46" i="19"/>
  <c r="E46" i="19"/>
  <c r="D46" i="19"/>
  <c r="C46" i="19"/>
  <c r="F45" i="19"/>
  <c r="E45" i="19"/>
  <c r="D45" i="19"/>
  <c r="C45" i="19"/>
  <c r="F44" i="19"/>
  <c r="E44" i="19"/>
  <c r="F43" i="19"/>
  <c r="E43" i="19"/>
  <c r="G42" i="19"/>
  <c r="G45" i="19" s="1"/>
  <c r="F42" i="19"/>
  <c r="E42" i="19"/>
  <c r="F40" i="19"/>
  <c r="E40" i="19"/>
  <c r="D40" i="19"/>
  <c r="C40" i="19"/>
  <c r="F39" i="19"/>
  <c r="E39" i="19"/>
  <c r="D39" i="19"/>
  <c r="C39" i="19"/>
  <c r="F38" i="19"/>
  <c r="E38" i="19"/>
  <c r="D38" i="19"/>
  <c r="E37" i="19"/>
  <c r="D37" i="19"/>
  <c r="F36" i="19"/>
  <c r="E36" i="19"/>
  <c r="F35" i="19"/>
  <c r="E35" i="19"/>
  <c r="F34" i="19"/>
  <c r="E34" i="19"/>
  <c r="F33" i="19"/>
  <c r="E33" i="19"/>
  <c r="G32" i="19"/>
  <c r="G37" i="19" s="1"/>
  <c r="F32" i="19"/>
  <c r="E32" i="19"/>
  <c r="F30" i="19"/>
  <c r="E30" i="19"/>
  <c r="D30" i="19"/>
  <c r="C30" i="19"/>
  <c r="F29" i="19"/>
  <c r="E29" i="19"/>
  <c r="D29" i="19"/>
  <c r="C29" i="19"/>
  <c r="F28" i="19"/>
  <c r="E28" i="19"/>
  <c r="D28" i="19"/>
  <c r="C28" i="19"/>
  <c r="F27" i="19"/>
  <c r="E27" i="19"/>
  <c r="D27" i="19"/>
  <c r="C27" i="19"/>
  <c r="F26" i="19"/>
  <c r="E26" i="19"/>
  <c r="C26" i="19"/>
  <c r="F25" i="19"/>
  <c r="E25" i="19"/>
  <c r="C25" i="19"/>
  <c r="F24" i="19"/>
  <c r="E24" i="19"/>
  <c r="F23" i="19"/>
  <c r="E23" i="19"/>
  <c r="G22" i="19"/>
  <c r="G27" i="19" s="1"/>
  <c r="F22" i="19"/>
  <c r="E22" i="19"/>
  <c r="F20" i="19"/>
  <c r="E20" i="19"/>
  <c r="D20" i="19"/>
  <c r="C20" i="19"/>
  <c r="F19" i="19"/>
  <c r="E19" i="19"/>
  <c r="D19" i="19"/>
  <c r="C19" i="19"/>
  <c r="F18" i="19"/>
  <c r="E18" i="19"/>
  <c r="D18" i="19"/>
  <c r="G17" i="19"/>
  <c r="F17" i="19"/>
  <c r="E17" i="19"/>
  <c r="D17" i="19"/>
  <c r="F16" i="19"/>
  <c r="F15" i="19"/>
  <c r="E15" i="19"/>
  <c r="F14" i="19"/>
  <c r="E14" i="19"/>
  <c r="D8" i="19"/>
  <c r="D7" i="19"/>
  <c r="H944" i="19" l="1"/>
  <c r="I944" i="19" s="1"/>
  <c r="C944" i="19" s="1"/>
  <c r="G1656" i="19"/>
  <c r="C1656" i="19" s="1"/>
  <c r="G1596" i="19"/>
  <c r="H1596" i="19" s="1"/>
  <c r="I1596" i="19" s="1"/>
  <c r="C1596" i="19" s="1"/>
  <c r="G1357" i="19"/>
  <c r="H1680" i="19"/>
  <c r="I1680" i="19" s="1"/>
  <c r="F828" i="19"/>
  <c r="D836" i="19"/>
  <c r="F855" i="19"/>
  <c r="D863" i="19"/>
  <c r="G927" i="19"/>
  <c r="H927" i="19" s="1"/>
  <c r="I927" i="19" s="1"/>
  <c r="C927" i="19" s="1"/>
  <c r="G951" i="19"/>
  <c r="H951" i="19" s="1"/>
  <c r="I951" i="19" s="1"/>
  <c r="C951" i="19" s="1"/>
  <c r="G1454" i="19"/>
  <c r="H1454" i="19" s="1"/>
  <c r="I1454" i="19" s="1"/>
  <c r="C1454" i="19" s="1"/>
  <c r="G926" i="19"/>
  <c r="H926" i="19" s="1"/>
  <c r="I926" i="19" s="1"/>
  <c r="C926" i="19" s="1"/>
  <c r="G1066" i="19"/>
  <c r="H1066" i="19" s="1"/>
  <c r="I1066" i="19" s="1"/>
  <c r="C1066" i="19" s="1"/>
  <c r="G1208" i="19"/>
  <c r="G1036" i="19"/>
  <c r="H1036" i="19" s="1"/>
  <c r="I1036" i="19" s="1"/>
  <c r="C1036" i="19" s="1"/>
  <c r="G1046" i="19"/>
  <c r="H1046" i="19" s="1"/>
  <c r="I1046" i="19" s="1"/>
  <c r="C1046" i="19" s="1"/>
  <c r="G1452" i="19"/>
  <c r="H1452" i="19" s="1"/>
  <c r="I1452" i="19" s="1"/>
  <c r="C1452" i="19" s="1"/>
  <c r="C1676" i="19"/>
  <c r="G917" i="19"/>
  <c r="G925" i="19"/>
  <c r="H925" i="19" s="1"/>
  <c r="I925" i="19" s="1"/>
  <c r="C925" i="19" s="1"/>
  <c r="G1374" i="19"/>
  <c r="H1374" i="19" s="1"/>
  <c r="I1374" i="19" s="1"/>
  <c r="C1374" i="19" s="1"/>
  <c r="G953" i="19"/>
  <c r="H953" i="19" s="1"/>
  <c r="I953" i="19" s="1"/>
  <c r="C953" i="19" s="1"/>
  <c r="I1084" i="19"/>
  <c r="C1084" i="19" s="1"/>
  <c r="G1371" i="19"/>
  <c r="H1371" i="19" s="1"/>
  <c r="G1386" i="19"/>
  <c r="H1386" i="19" s="1"/>
  <c r="I1386" i="19" s="1"/>
  <c r="C1386" i="19" s="1"/>
  <c r="G1581" i="19"/>
  <c r="G1456" i="19"/>
  <c r="H1456" i="19" s="1"/>
  <c r="I1456" i="19" s="1"/>
  <c r="C1456" i="19" s="1"/>
  <c r="H1700" i="19"/>
  <c r="I1700" i="19" s="1"/>
  <c r="G446" i="19"/>
  <c r="G445" i="19" s="1"/>
  <c r="G938" i="19"/>
  <c r="H938" i="19" s="1"/>
  <c r="I938" i="19" s="1"/>
  <c r="C938" i="19" s="1"/>
  <c r="G1384" i="19"/>
  <c r="H1384" i="19" s="1"/>
  <c r="I1384" i="19" s="1"/>
  <c r="C1384" i="19" s="1"/>
  <c r="G302" i="19"/>
  <c r="G301" i="19" s="1"/>
  <c r="E718" i="19"/>
  <c r="G1085" i="19"/>
  <c r="H1085" i="19" s="1"/>
  <c r="I1085" i="19" s="1"/>
  <c r="C1085" i="19" s="1"/>
  <c r="G1119" i="19"/>
  <c r="H1119" i="19" s="1"/>
  <c r="I1119" i="19" s="1"/>
  <c r="C1119" i="19" s="1"/>
  <c r="E1649" i="19"/>
  <c r="H1713" i="19"/>
  <c r="I1713" i="19" s="1"/>
  <c r="G1377" i="19"/>
  <c r="G1438" i="19" s="1"/>
  <c r="G1403" i="19"/>
  <c r="H1403" i="19" s="1"/>
  <c r="I1403" i="19" s="1"/>
  <c r="C1403" i="19" s="1"/>
  <c r="H1514" i="19"/>
  <c r="I1514" i="19" s="1"/>
  <c r="C1514" i="19" s="1"/>
  <c r="F1649" i="19"/>
  <c r="E1660" i="19"/>
  <c r="F1670" i="19"/>
  <c r="H1693" i="19"/>
  <c r="I1693" i="19" s="1"/>
  <c r="G1714" i="19"/>
  <c r="C1714" i="19" s="1"/>
  <c r="G1151" i="19"/>
  <c r="G1385" i="19"/>
  <c r="H1385" i="19" s="1"/>
  <c r="I1385" i="19" s="1"/>
  <c r="C1385" i="19" s="1"/>
  <c r="G1388" i="19"/>
  <c r="H1388" i="19" s="1"/>
  <c r="I1388" i="19" s="1"/>
  <c r="C1388" i="19" s="1"/>
  <c r="G1400" i="19"/>
  <c r="H1400" i="19" s="1"/>
  <c r="I1400" i="19" s="1"/>
  <c r="C1400" i="19" s="1"/>
  <c r="H1564" i="19"/>
  <c r="I1564" i="19" s="1"/>
  <c r="C1564" i="19" s="1"/>
  <c r="G455" i="19"/>
  <c r="G454" i="19" s="1"/>
  <c r="F846" i="19"/>
  <c r="G937" i="19"/>
  <c r="H937" i="19" s="1"/>
  <c r="I937" i="19" s="1"/>
  <c r="C937" i="19" s="1"/>
  <c r="H1692" i="19"/>
  <c r="I1692" i="19" s="1"/>
  <c r="C1715" i="19"/>
  <c r="F731" i="19"/>
  <c r="F689" i="19"/>
  <c r="H1703" i="19"/>
  <c r="I1703" i="19" s="1"/>
  <c r="D845" i="19"/>
  <c r="C1695" i="19"/>
  <c r="E811" i="19"/>
  <c r="D819" i="19"/>
  <c r="C1701" i="19"/>
  <c r="C1709" i="19"/>
  <c r="D846" i="19"/>
  <c r="D864" i="19"/>
  <c r="E828" i="19"/>
  <c r="I1360" i="19"/>
  <c r="C1360" i="19" s="1"/>
  <c r="E819" i="19"/>
  <c r="I911" i="19"/>
  <c r="C911" i="19" s="1"/>
  <c r="I1206" i="19"/>
  <c r="C1206" i="19" s="1"/>
  <c r="I1367" i="19"/>
  <c r="C1367" i="19" s="1"/>
  <c r="I1372" i="19"/>
  <c r="C1372" i="19" s="1"/>
  <c r="D1715" i="19"/>
  <c r="E827" i="19"/>
  <c r="D854" i="19"/>
  <c r="I928" i="19"/>
  <c r="C928" i="19" s="1"/>
  <c r="I935" i="19"/>
  <c r="C935" i="19" s="1"/>
  <c r="G1209" i="19"/>
  <c r="G1364" i="19"/>
  <c r="H1364" i="19" s="1"/>
  <c r="I1364" i="19" s="1"/>
  <c r="C1364" i="19" s="1"/>
  <c r="G1607" i="19"/>
  <c r="G1608" i="19" s="1"/>
  <c r="H1608" i="19" s="1"/>
  <c r="I1608" i="19" s="1"/>
  <c r="C1608" i="19" s="1"/>
  <c r="D1659" i="19"/>
  <c r="G1679" i="19"/>
  <c r="C1679" i="19" s="1"/>
  <c r="H1690" i="19"/>
  <c r="I1690" i="19" s="1"/>
  <c r="C1699" i="19"/>
  <c r="E1715" i="19"/>
  <c r="G436" i="19"/>
  <c r="G435" i="19" s="1"/>
  <c r="F827" i="19"/>
  <c r="F854" i="19"/>
  <c r="G909" i="19"/>
  <c r="H909" i="19" s="1"/>
  <c r="I909" i="19" s="1"/>
  <c r="C909" i="19" s="1"/>
  <c r="G1358" i="19"/>
  <c r="G1428" i="19" s="1"/>
  <c r="H1428" i="19" s="1"/>
  <c r="I1428" i="19" s="1"/>
  <c r="C1428" i="19" s="1"/>
  <c r="G1361" i="19"/>
  <c r="H1361" i="19" s="1"/>
  <c r="I1361" i="19" s="1"/>
  <c r="C1361" i="19" s="1"/>
  <c r="G1368" i="19"/>
  <c r="H1368" i="19" s="1"/>
  <c r="E1659" i="19"/>
  <c r="E845" i="19"/>
  <c r="E864" i="19"/>
  <c r="G994" i="19"/>
  <c r="H994" i="19" s="1"/>
  <c r="I994" i="19" s="1"/>
  <c r="C994" i="19" s="1"/>
  <c r="G907" i="19"/>
  <c r="H907" i="19" s="1"/>
  <c r="I907" i="19" s="1"/>
  <c r="C907" i="19" s="1"/>
  <c r="G916" i="19"/>
  <c r="H916" i="19" s="1"/>
  <c r="I916" i="19" s="1"/>
  <c r="C916" i="19" s="1"/>
  <c r="G932" i="19"/>
  <c r="H932" i="19" s="1"/>
  <c r="I932" i="19" s="1"/>
  <c r="C932" i="19" s="1"/>
  <c r="G952" i="19"/>
  <c r="H952" i="19" s="1"/>
  <c r="I952" i="19" s="1"/>
  <c r="C952" i="19" s="1"/>
  <c r="G1048" i="19"/>
  <c r="H1048" i="19" s="1"/>
  <c r="I1048" i="19" s="1"/>
  <c r="C1048" i="19" s="1"/>
  <c r="I1061" i="19"/>
  <c r="C1061" i="19" s="1"/>
  <c r="G1207" i="19"/>
  <c r="H1207" i="19" s="1"/>
  <c r="I1207" i="19" s="1"/>
  <c r="C1207" i="19" s="1"/>
  <c r="I1379" i="19"/>
  <c r="C1379" i="19" s="1"/>
  <c r="G1406" i="19"/>
  <c r="G1440" i="19" s="1"/>
  <c r="H1440" i="19" s="1"/>
  <c r="I1440" i="19" s="1"/>
  <c r="C1440" i="19" s="1"/>
  <c r="I1399" i="19"/>
  <c r="C1399" i="19" s="1"/>
  <c r="G1402" i="19"/>
  <c r="H1402" i="19" s="1"/>
  <c r="H1405" i="19"/>
  <c r="I1405" i="19" s="1"/>
  <c r="C1405" i="19" s="1"/>
  <c r="C1678" i="19"/>
  <c r="D891" i="19"/>
  <c r="G905" i="19"/>
  <c r="H905" i="19" s="1"/>
  <c r="I905" i="19" s="1"/>
  <c r="C905" i="19" s="1"/>
  <c r="H913" i="19"/>
  <c r="I913" i="19" s="1"/>
  <c r="C913" i="19" s="1"/>
  <c r="C1028" i="19"/>
  <c r="G1150" i="19"/>
  <c r="G1365" i="19"/>
  <c r="H1365" i="19" s="1"/>
  <c r="I1365" i="19" s="1"/>
  <c r="C1365" i="19" s="1"/>
  <c r="G1421" i="19"/>
  <c r="H1421" i="19" s="1"/>
  <c r="I1421" i="19" s="1"/>
  <c r="C1421" i="19" s="1"/>
  <c r="G1451" i="19"/>
  <c r="G1534" i="19" s="1"/>
  <c r="H1534" i="19" s="1"/>
  <c r="I1534" i="19" s="1"/>
  <c r="C1534" i="19" s="1"/>
  <c r="I618" i="19"/>
  <c r="I623" i="19" s="1"/>
  <c r="E855" i="19"/>
  <c r="E873" i="19"/>
  <c r="E891" i="19"/>
  <c r="G929" i="19"/>
  <c r="H929" i="19" s="1"/>
  <c r="I929" i="19" s="1"/>
  <c r="C929" i="19" s="1"/>
  <c r="I1049" i="19"/>
  <c r="C1049" i="19" s="1"/>
  <c r="G1087" i="19"/>
  <c r="H1087" i="19" s="1"/>
  <c r="I1087" i="19" s="1"/>
  <c r="C1087" i="19" s="1"/>
  <c r="G1147" i="19"/>
  <c r="G1148" i="19" s="1"/>
  <c r="H1415" i="19"/>
  <c r="I1415" i="19" s="1"/>
  <c r="C1415" i="19" s="1"/>
  <c r="D1658" i="19"/>
  <c r="H1675" i="19"/>
  <c r="I1675" i="19" s="1"/>
  <c r="H1694" i="19"/>
  <c r="I1694" i="19" s="1"/>
  <c r="G1062" i="19"/>
  <c r="H1062" i="19" s="1"/>
  <c r="I1062" i="19" s="1"/>
  <c r="C1062" i="19" s="1"/>
  <c r="G1586" i="19"/>
  <c r="G1585" i="19" s="1"/>
  <c r="G1579" i="19"/>
  <c r="G1632" i="19"/>
  <c r="H1632" i="19" s="1"/>
  <c r="I1632" i="19" s="1"/>
  <c r="C1632" i="19" s="1"/>
  <c r="H1602" i="19"/>
  <c r="I1602" i="19" s="1"/>
  <c r="C1602" i="19" s="1"/>
  <c r="H1611" i="19"/>
  <c r="I1611" i="19" s="1"/>
  <c r="C1611" i="19" s="1"/>
  <c r="H689" i="19"/>
  <c r="C689" i="19" s="1"/>
  <c r="I868" i="19"/>
  <c r="C868" i="19" s="1"/>
  <c r="C41" i="19"/>
  <c r="H23" i="19"/>
  <c r="C23" i="19" s="1"/>
  <c r="C80" i="19"/>
  <c r="C117" i="19"/>
  <c r="H777" i="19"/>
  <c r="C777" i="19" s="1"/>
  <c r="H37" i="19"/>
  <c r="I37" i="19" s="1"/>
  <c r="C37" i="19" s="1"/>
  <c r="H496" i="19"/>
  <c r="C496" i="19" s="1"/>
  <c r="H511" i="19"/>
  <c r="G1131" i="19"/>
  <c r="H1131" i="19" s="1"/>
  <c r="I1131" i="19" s="1"/>
  <c r="C1131" i="19" s="1"/>
  <c r="H231" i="19"/>
  <c r="H229" i="19"/>
  <c r="I226" i="19"/>
  <c r="I228" i="19" s="1"/>
  <c r="H230" i="19"/>
  <c r="H228" i="19"/>
  <c r="H232" i="19"/>
  <c r="H233" i="19"/>
  <c r="C147" i="19"/>
  <c r="H160" i="19"/>
  <c r="C160" i="19" s="1"/>
  <c r="C108" i="19"/>
  <c r="C206" i="19"/>
  <c r="H166" i="19"/>
  <c r="C171" i="19"/>
  <c r="H283" i="19"/>
  <c r="H284" i="19"/>
  <c r="H285" i="19"/>
  <c r="H114" i="19"/>
  <c r="C114" i="19" s="1"/>
  <c r="I140" i="19"/>
  <c r="K569" i="19"/>
  <c r="I277" i="19"/>
  <c r="C277" i="19" s="1"/>
  <c r="H504" i="19"/>
  <c r="C504" i="19" s="1"/>
  <c r="I377" i="19"/>
  <c r="I383" i="19" s="1"/>
  <c r="C383" i="19" s="1"/>
  <c r="H414" i="19"/>
  <c r="H384" i="19"/>
  <c r="H460" i="19"/>
  <c r="C460" i="19" s="1"/>
  <c r="H279" i="19"/>
  <c r="C279" i="19" s="1"/>
  <c r="K407" i="19"/>
  <c r="I323" i="19"/>
  <c r="C323" i="19" s="1"/>
  <c r="H378" i="19"/>
  <c r="I403" i="19"/>
  <c r="I405" i="19" s="1"/>
  <c r="C405" i="19" s="1"/>
  <c r="I562" i="19"/>
  <c r="C562" i="19" s="1"/>
  <c r="H584" i="19"/>
  <c r="H586" i="19"/>
  <c r="G582" i="19"/>
  <c r="H582" i="19" s="1"/>
  <c r="H583" i="19"/>
  <c r="H306" i="19"/>
  <c r="C306" i="19" s="1"/>
  <c r="F744" i="19"/>
  <c r="H1190" i="19"/>
  <c r="I1190" i="19" s="1"/>
  <c r="C1190" i="19" s="1"/>
  <c r="F647" i="19"/>
  <c r="E702" i="19"/>
  <c r="H852" i="19"/>
  <c r="C852" i="19" s="1"/>
  <c r="H900" i="19"/>
  <c r="I900" i="19" s="1"/>
  <c r="C900" i="19" s="1"/>
  <c r="H802" i="19"/>
  <c r="C802" i="19" s="1"/>
  <c r="H861" i="19"/>
  <c r="C861" i="19" s="1"/>
  <c r="H898" i="19"/>
  <c r="I898" i="19" s="1"/>
  <c r="C898" i="19" s="1"/>
  <c r="H1038" i="19"/>
  <c r="I1038" i="19" s="1"/>
  <c r="C1038" i="19" s="1"/>
  <c r="H1162" i="19"/>
  <c r="I1162" i="19" s="1"/>
  <c r="C1162" i="19" s="1"/>
  <c r="H1179" i="19"/>
  <c r="I1179" i="19" s="1"/>
  <c r="C1179" i="19" s="1"/>
  <c r="I1373" i="19"/>
  <c r="C1373" i="19" s="1"/>
  <c r="E660" i="19"/>
  <c r="E799" i="19"/>
  <c r="H1215" i="19"/>
  <c r="I1215" i="19" s="1"/>
  <c r="C1215" i="19" s="1"/>
  <c r="H1083" i="19"/>
  <c r="I1083" i="19" s="1"/>
  <c r="C1083" i="19" s="1"/>
  <c r="H1159" i="19"/>
  <c r="I1159" i="19" s="1"/>
  <c r="C1159" i="19" s="1"/>
  <c r="H1172" i="19"/>
  <c r="I1172" i="19" s="1"/>
  <c r="C1172" i="19" s="1"/>
  <c r="H1197" i="19"/>
  <c r="I1197" i="19" s="1"/>
  <c r="C1197" i="19" s="1"/>
  <c r="H1219" i="19"/>
  <c r="I1219" i="19" s="1"/>
  <c r="C1219" i="19" s="1"/>
  <c r="C1697" i="19"/>
  <c r="H1460" i="19"/>
  <c r="I1460" i="19" s="1"/>
  <c r="C1460" i="19" s="1"/>
  <c r="I1565" i="19"/>
  <c r="C1565" i="19" s="1"/>
  <c r="C1691" i="19"/>
  <c r="G1696" i="19"/>
  <c r="H1702" i="19"/>
  <c r="I1702" i="19" s="1"/>
  <c r="C1707" i="19"/>
  <c r="H1291" i="19"/>
  <c r="I1291" i="19" s="1"/>
  <c r="C1291" i="19" s="1"/>
  <c r="G1443" i="19"/>
  <c r="H1288" i="19"/>
  <c r="I1288" i="19" s="1"/>
  <c r="C1288" i="19" s="1"/>
  <c r="H1211" i="19"/>
  <c r="I1211" i="19" s="1"/>
  <c r="C1211" i="19" s="1"/>
  <c r="H1231" i="19"/>
  <c r="I1231" i="19" s="1"/>
  <c r="C1231" i="19" s="1"/>
  <c r="G1225" i="19"/>
  <c r="H1691" i="19"/>
  <c r="I1691" i="19" s="1"/>
  <c r="H1704" i="19"/>
  <c r="I1704" i="19" s="1"/>
  <c r="H1707" i="19"/>
  <c r="I1707" i="19" s="1"/>
  <c r="H1698" i="19"/>
  <c r="I1698" i="19" s="1"/>
  <c r="G65" i="19"/>
  <c r="G111" i="19"/>
  <c r="G96" i="19"/>
  <c r="C132" i="19"/>
  <c r="H181" i="19"/>
  <c r="I180" i="19"/>
  <c r="H182" i="19"/>
  <c r="H227" i="19"/>
  <c r="J227" i="19"/>
  <c r="K236" i="19"/>
  <c r="I191" i="19"/>
  <c r="C191" i="19" s="1"/>
  <c r="H193" i="19"/>
  <c r="C193" i="19" s="1"/>
  <c r="C216" i="19"/>
  <c r="K227" i="19"/>
  <c r="J258" i="19"/>
  <c r="G275" i="19"/>
  <c r="H286" i="19"/>
  <c r="G291" i="19"/>
  <c r="J259" i="19"/>
  <c r="H287" i="19"/>
  <c r="H373" i="19"/>
  <c r="I368" i="19"/>
  <c r="H370" i="19"/>
  <c r="H369" i="19"/>
  <c r="J370" i="19"/>
  <c r="I282" i="19"/>
  <c r="H288" i="19"/>
  <c r="G235" i="19"/>
  <c r="G266" i="19"/>
  <c r="G265" i="19" s="1"/>
  <c r="H372" i="19"/>
  <c r="H411" i="19"/>
  <c r="I567" i="19"/>
  <c r="I568" i="19"/>
  <c r="I571" i="19"/>
  <c r="I566" i="19"/>
  <c r="I569" i="19"/>
  <c r="C565" i="19"/>
  <c r="I572" i="19"/>
  <c r="I570" i="19"/>
  <c r="H379" i="19"/>
  <c r="H380" i="19"/>
  <c r="H381" i="19"/>
  <c r="H382" i="19"/>
  <c r="H568" i="19"/>
  <c r="H601" i="19"/>
  <c r="I598" i="19"/>
  <c r="H604" i="19"/>
  <c r="H571" i="19"/>
  <c r="H581" i="19"/>
  <c r="G622" i="19"/>
  <c r="H622" i="19" s="1"/>
  <c r="H624" i="19"/>
  <c r="H632" i="19"/>
  <c r="G401" i="19"/>
  <c r="G400" i="19" s="1"/>
  <c r="G426" i="19"/>
  <c r="G425" i="19" s="1"/>
  <c r="H566" i="19"/>
  <c r="H572" i="19"/>
  <c r="H567" i="19"/>
  <c r="H570" i="19"/>
  <c r="J602" i="19"/>
  <c r="H603" i="19"/>
  <c r="F631" i="19"/>
  <c r="K411" i="19"/>
  <c r="H600" i="19"/>
  <c r="H631" i="19"/>
  <c r="H630" i="19"/>
  <c r="H628" i="19"/>
  <c r="I627" i="19"/>
  <c r="H404" i="19"/>
  <c r="I381" i="19"/>
  <c r="H569" i="19"/>
  <c r="H585" i="19"/>
  <c r="I578" i="19"/>
  <c r="H579" i="19"/>
  <c r="H599" i="19"/>
  <c r="H602" i="19"/>
  <c r="H621" i="19"/>
  <c r="H620" i="19"/>
  <c r="H623" i="19"/>
  <c r="F676" i="19"/>
  <c r="F761" i="19"/>
  <c r="E761" i="19"/>
  <c r="E647" i="19"/>
  <c r="F660" i="19"/>
  <c r="F702" i="19"/>
  <c r="H809" i="19"/>
  <c r="J809" i="19" s="1"/>
  <c r="H808" i="19"/>
  <c r="J808" i="19" s="1"/>
  <c r="H810" i="19"/>
  <c r="J810" i="19" s="1"/>
  <c r="I807" i="19"/>
  <c r="H811" i="19"/>
  <c r="J811" i="19" s="1"/>
  <c r="D810" i="19"/>
  <c r="D837" i="19"/>
  <c r="H934" i="19"/>
  <c r="I934" i="19" s="1"/>
  <c r="C934" i="19" s="1"/>
  <c r="E787" i="19"/>
  <c r="E810" i="19"/>
  <c r="F836" i="19"/>
  <c r="E837" i="19"/>
  <c r="F863" i="19"/>
  <c r="F872" i="19"/>
  <c r="I895" i="19"/>
  <c r="G1005" i="19"/>
  <c r="G996" i="19"/>
  <c r="G899" i="19"/>
  <c r="F787" i="19"/>
  <c r="D818" i="19"/>
  <c r="F837" i="19"/>
  <c r="G998" i="19"/>
  <c r="G1008" i="19"/>
  <c r="G897" i="19"/>
  <c r="E818" i="19"/>
  <c r="H930" i="19"/>
  <c r="I930" i="19" s="1"/>
  <c r="C930" i="19" s="1"/>
  <c r="H914" i="19"/>
  <c r="I914" i="19" s="1"/>
  <c r="C914" i="19" s="1"/>
  <c r="H948" i="19"/>
  <c r="I948" i="19" s="1"/>
  <c r="C948" i="19" s="1"/>
  <c r="H982" i="19"/>
  <c r="I982" i="19" s="1"/>
  <c r="C982" i="19" s="1"/>
  <c r="H904" i="19"/>
  <c r="I904" i="19" s="1"/>
  <c r="C904" i="19" s="1"/>
  <c r="H922" i="19"/>
  <c r="I922" i="19" s="1"/>
  <c r="C922" i="19" s="1"/>
  <c r="E872" i="19"/>
  <c r="D872" i="19"/>
  <c r="H991" i="19"/>
  <c r="I991" i="19" s="1"/>
  <c r="C991" i="19" s="1"/>
  <c r="G993" i="19"/>
  <c r="E881" i="19"/>
  <c r="D882" i="19"/>
  <c r="G995" i="19"/>
  <c r="G1011" i="19"/>
  <c r="F882" i="19"/>
  <c r="H901" i="19"/>
  <c r="I901" i="19" s="1"/>
  <c r="C901" i="19" s="1"/>
  <c r="H920" i="19"/>
  <c r="I920" i="19" s="1"/>
  <c r="C920" i="19" s="1"/>
  <c r="G923" i="19"/>
  <c r="G933" i="19"/>
  <c r="H936" i="19"/>
  <c r="I936" i="19" s="1"/>
  <c r="C936" i="19" s="1"/>
  <c r="H946" i="19"/>
  <c r="I946" i="19" s="1"/>
  <c r="C946" i="19" s="1"/>
  <c r="H974" i="19"/>
  <c r="I974" i="19" s="1"/>
  <c r="C974" i="19" s="1"/>
  <c r="G1003" i="19"/>
  <c r="G1019" i="19"/>
  <c r="H1019" i="19" s="1"/>
  <c r="I1019" i="19" s="1"/>
  <c r="C1019" i="19" s="1"/>
  <c r="D890" i="19"/>
  <c r="G997" i="19"/>
  <c r="G1007" i="19"/>
  <c r="H917" i="19"/>
  <c r="I917" i="19" s="1"/>
  <c r="C917" i="19" s="1"/>
  <c r="E890" i="19"/>
  <c r="G906" i="19"/>
  <c r="G908" i="19"/>
  <c r="G910" i="19"/>
  <c r="H912" i="19" s="1"/>
  <c r="I912" i="19" s="1"/>
  <c r="C912" i="19" s="1"/>
  <c r="G921" i="19"/>
  <c r="H1086" i="19"/>
  <c r="I1086" i="19" s="1"/>
  <c r="C1086" i="19" s="1"/>
  <c r="G902" i="19"/>
  <c r="I915" i="19"/>
  <c r="C915" i="19" s="1"/>
  <c r="I931" i="19"/>
  <c r="C931" i="19" s="1"/>
  <c r="H1060" i="19"/>
  <c r="I1060" i="19" s="1"/>
  <c r="C1060" i="19" s="1"/>
  <c r="H1063" i="19"/>
  <c r="I1063" i="19" s="1"/>
  <c r="C1063" i="19" s="1"/>
  <c r="G1058" i="19"/>
  <c r="G1125" i="19"/>
  <c r="H1160" i="19"/>
  <c r="I1160" i="19" s="1"/>
  <c r="C1160" i="19" s="1"/>
  <c r="H1044" i="19"/>
  <c r="I1044" i="19" s="1"/>
  <c r="C1044" i="19" s="1"/>
  <c r="I1052" i="19"/>
  <c r="C1052" i="19" s="1"/>
  <c r="G1055" i="19"/>
  <c r="I1068" i="19"/>
  <c r="C1068" i="19" s="1"/>
  <c r="G1071" i="19"/>
  <c r="H1077" i="19"/>
  <c r="I1077" i="19" s="1"/>
  <c r="C1077" i="19" s="1"/>
  <c r="H1095" i="19"/>
  <c r="I1095" i="19" s="1"/>
  <c r="C1095" i="19" s="1"/>
  <c r="G1098" i="19"/>
  <c r="H1122" i="19"/>
  <c r="I1122" i="19" s="1"/>
  <c r="C1122" i="19" s="1"/>
  <c r="G1123" i="19"/>
  <c r="H1170" i="19"/>
  <c r="I1170" i="19" s="1"/>
  <c r="C1170" i="19" s="1"/>
  <c r="G1053" i="19"/>
  <c r="I1056" i="19"/>
  <c r="C1056" i="19" s="1"/>
  <c r="G1069" i="19"/>
  <c r="H1075" i="19"/>
  <c r="I1075" i="19" s="1"/>
  <c r="C1075" i="19" s="1"/>
  <c r="G1149" i="19"/>
  <c r="G1088" i="19"/>
  <c r="H1093" i="19"/>
  <c r="I1093" i="19" s="1"/>
  <c r="C1093" i="19" s="1"/>
  <c r="H1183" i="19"/>
  <c r="I1183" i="19" s="1"/>
  <c r="C1183" i="19" s="1"/>
  <c r="H1201" i="19"/>
  <c r="I1201" i="19" s="1"/>
  <c r="C1201" i="19" s="1"/>
  <c r="H1222" i="19"/>
  <c r="I1222" i="19" s="1"/>
  <c r="C1222" i="19" s="1"/>
  <c r="G1045" i="19"/>
  <c r="G1047" i="19"/>
  <c r="G1050" i="19"/>
  <c r="H1096" i="19"/>
  <c r="I1096" i="19" s="1"/>
  <c r="C1096" i="19" s="1"/>
  <c r="G1117" i="19"/>
  <c r="I1129" i="19"/>
  <c r="C1129" i="19" s="1"/>
  <c r="H1165" i="19"/>
  <c r="I1165" i="19" s="1"/>
  <c r="C1165" i="19" s="1"/>
  <c r="H1230" i="19"/>
  <c r="I1230" i="19" s="1"/>
  <c r="C1230" i="19" s="1"/>
  <c r="G987" i="19"/>
  <c r="H989" i="19"/>
  <c r="I989" i="19" s="1"/>
  <c r="C989" i="19" s="1"/>
  <c r="G1037" i="19"/>
  <c r="G1039" i="19"/>
  <c r="G1041" i="19"/>
  <c r="G1043" i="19"/>
  <c r="G1057" i="19"/>
  <c r="H1073" i="19"/>
  <c r="I1073" i="19" s="1"/>
  <c r="C1073" i="19" s="1"/>
  <c r="H1114" i="19"/>
  <c r="I1114" i="19" s="1"/>
  <c r="C1114" i="19" s="1"/>
  <c r="G1134" i="19"/>
  <c r="G1124" i="19"/>
  <c r="G1136" i="19"/>
  <c r="G1126" i="19"/>
  <c r="G1138" i="19"/>
  <c r="G1128" i="19"/>
  <c r="G1054" i="19"/>
  <c r="G1146" i="19"/>
  <c r="G1070" i="19"/>
  <c r="G1120" i="19"/>
  <c r="H1176" i="19"/>
  <c r="I1176" i="19" s="1"/>
  <c r="C1176" i="19" s="1"/>
  <c r="G1051" i="19"/>
  <c r="G1145" i="19"/>
  <c r="I1064" i="19"/>
  <c r="C1064" i="19" s="1"/>
  <c r="G1067" i="19"/>
  <c r="H1112" i="19"/>
  <c r="I1112" i="19" s="1"/>
  <c r="C1112" i="19" s="1"/>
  <c r="G1127" i="19"/>
  <c r="G1193" i="19"/>
  <c r="G1192" i="19"/>
  <c r="G1194" i="19"/>
  <c r="I1191" i="19"/>
  <c r="C1191" i="19" s="1"/>
  <c r="H1218" i="19"/>
  <c r="I1218" i="19" s="1"/>
  <c r="C1218" i="19" s="1"/>
  <c r="H1247" i="19"/>
  <c r="H1283" i="19"/>
  <c r="I1283" i="19" s="1"/>
  <c r="C1283" i="19" s="1"/>
  <c r="I1362" i="19"/>
  <c r="C1362" i="19" s="1"/>
  <c r="H1163" i="19"/>
  <c r="I1163" i="19" s="1"/>
  <c r="C1163" i="19" s="1"/>
  <c r="H1173" i="19"/>
  <c r="I1173" i="19" s="1"/>
  <c r="C1173" i="19" s="1"/>
  <c r="G1180" i="19"/>
  <c r="H1188" i="19"/>
  <c r="I1188" i="19" s="1"/>
  <c r="C1188" i="19" s="1"/>
  <c r="G1205" i="19"/>
  <c r="H1208" i="19"/>
  <c r="I1208" i="19" s="1"/>
  <c r="C1208" i="19" s="1"/>
  <c r="I1223" i="19"/>
  <c r="C1223" i="19" s="1"/>
  <c r="H1381" i="19"/>
  <c r="H1289" i="19"/>
  <c r="I1289" i="19" s="1"/>
  <c r="C1289" i="19" s="1"/>
  <c r="I1376" i="19"/>
  <c r="C1376" i="19" s="1"/>
  <c r="G1166" i="19"/>
  <c r="G1224" i="19"/>
  <c r="H1257" i="19"/>
  <c r="I1257" i="19" s="1"/>
  <c r="C1257" i="19" s="1"/>
  <c r="H1369" i="19"/>
  <c r="H1392" i="19"/>
  <c r="H1164" i="19"/>
  <c r="I1164" i="19" s="1"/>
  <c r="C1164" i="19" s="1"/>
  <c r="G1307" i="19"/>
  <c r="H1307" i="19" s="1"/>
  <c r="I1307" i="19" s="1"/>
  <c r="C1307" i="19" s="1"/>
  <c r="G1285" i="19"/>
  <c r="I1178" i="19"/>
  <c r="C1178" i="19" s="1"/>
  <c r="H1189" i="19"/>
  <c r="I1189" i="19" s="1"/>
  <c r="C1189" i="19" s="1"/>
  <c r="H1196" i="19"/>
  <c r="I1196" i="19" s="1"/>
  <c r="C1196" i="19" s="1"/>
  <c r="I1203" i="19"/>
  <c r="C1203" i="19" s="1"/>
  <c r="H1209" i="19"/>
  <c r="I1209" i="19" s="1"/>
  <c r="C1209" i="19" s="1"/>
  <c r="I1366" i="19"/>
  <c r="C1366" i="19" s="1"/>
  <c r="I1408" i="19"/>
  <c r="C1408" i="19" s="1"/>
  <c r="G1327" i="19"/>
  <c r="G1328" i="19"/>
  <c r="H1277" i="19"/>
  <c r="I1277" i="19" s="1"/>
  <c r="C1277" i="19" s="1"/>
  <c r="H1406" i="19"/>
  <c r="D1334" i="19"/>
  <c r="H1434" i="19"/>
  <c r="I1434" i="19" s="1"/>
  <c r="C1434" i="19" s="1"/>
  <c r="G1430" i="19"/>
  <c r="H1430" i="19" s="1"/>
  <c r="G1447" i="19"/>
  <c r="G1382" i="19"/>
  <c r="H1382" i="19" s="1"/>
  <c r="E1334" i="19"/>
  <c r="G1390" i="19"/>
  <c r="I1393" i="19"/>
  <c r="C1393" i="19" s="1"/>
  <c r="I1409" i="19"/>
  <c r="C1409" i="19" s="1"/>
  <c r="F1334" i="19"/>
  <c r="G1370" i="19"/>
  <c r="H1435" i="19"/>
  <c r="I1435" i="19" s="1"/>
  <c r="C1435" i="19" s="1"/>
  <c r="G1378" i="19"/>
  <c r="H1378" i="19" s="1"/>
  <c r="G1380" i="19"/>
  <c r="G1437" i="19" s="1"/>
  <c r="G1387" i="19"/>
  <c r="G1391" i="19"/>
  <c r="I1412" i="19"/>
  <c r="C1412" i="19" s="1"/>
  <c r="H1413" i="19"/>
  <c r="I1422" i="19"/>
  <c r="C1422" i="19" s="1"/>
  <c r="I1423" i="19"/>
  <c r="C1423" i="19" s="1"/>
  <c r="I1416" i="19"/>
  <c r="C1416" i="19" s="1"/>
  <c r="I1433" i="19"/>
  <c r="C1433" i="19" s="1"/>
  <c r="I1418" i="19"/>
  <c r="C1418" i="19" s="1"/>
  <c r="I1420" i="19"/>
  <c r="C1420" i="19" s="1"/>
  <c r="H1357" i="19"/>
  <c r="G1359" i="19"/>
  <c r="G1429" i="19" s="1"/>
  <c r="G1441" i="19"/>
  <c r="H1441" i="19" s="1"/>
  <c r="I1441" i="19" s="1"/>
  <c r="C1441" i="19" s="1"/>
  <c r="G1394" i="19"/>
  <c r="I1427" i="19"/>
  <c r="C1427" i="19" s="1"/>
  <c r="I1432" i="19"/>
  <c r="C1432" i="19" s="1"/>
  <c r="G1536" i="19"/>
  <c r="H1474" i="19"/>
  <c r="I1474" i="19" s="1"/>
  <c r="C1474" i="19" s="1"/>
  <c r="H1495" i="19"/>
  <c r="I1495" i="19" s="1"/>
  <c r="C1495" i="19" s="1"/>
  <c r="G1459" i="19"/>
  <c r="H1512" i="19"/>
  <c r="I1512" i="19" s="1"/>
  <c r="C1512" i="19" s="1"/>
  <c r="G1550" i="19"/>
  <c r="I1562" i="19"/>
  <c r="C1562" i="19" s="1"/>
  <c r="H1558" i="19"/>
  <c r="I1560" i="19"/>
  <c r="C1560" i="19" s="1"/>
  <c r="G1630" i="19"/>
  <c r="H1592" i="19"/>
  <c r="I1592" i="19" s="1"/>
  <c r="C1592" i="19" s="1"/>
  <c r="H1453" i="19"/>
  <c r="I1453" i="19" s="1"/>
  <c r="C1453" i="19" s="1"/>
  <c r="H1455" i="19"/>
  <c r="I1455" i="19" s="1"/>
  <c r="C1455" i="19" s="1"/>
  <c r="H1475" i="19"/>
  <c r="I1475" i="19" s="1"/>
  <c r="C1475" i="19" s="1"/>
  <c r="I1568" i="19"/>
  <c r="C1568" i="19" s="1"/>
  <c r="I1457" i="19"/>
  <c r="C1457" i="19" s="1"/>
  <c r="H1575" i="19"/>
  <c r="I1570" i="19"/>
  <c r="C1570" i="19" s="1"/>
  <c r="H1591" i="19"/>
  <c r="I1591" i="19" s="1"/>
  <c r="C1591" i="19" s="1"/>
  <c r="H1498" i="19"/>
  <c r="I1498" i="19" s="1"/>
  <c r="C1498" i="19" s="1"/>
  <c r="I1567" i="19"/>
  <c r="C1567" i="19" s="1"/>
  <c r="G1424" i="19"/>
  <c r="H1458" i="19"/>
  <c r="I1458" i="19" s="1"/>
  <c r="C1458" i="19" s="1"/>
  <c r="H1525" i="19"/>
  <c r="I1525" i="19" s="1"/>
  <c r="C1525" i="19" s="1"/>
  <c r="G1545" i="19"/>
  <c r="G1546" i="19"/>
  <c r="G1557" i="19"/>
  <c r="H1526" i="19"/>
  <c r="I1526" i="19" s="1"/>
  <c r="C1526" i="19" s="1"/>
  <c r="G1595" i="19"/>
  <c r="H1595" i="19" s="1"/>
  <c r="I1595" i="19" s="1"/>
  <c r="C1595" i="19" s="1"/>
  <c r="H1605" i="19"/>
  <c r="I1605" i="19" s="1"/>
  <c r="C1605" i="19" s="1"/>
  <c r="G1609" i="19"/>
  <c r="H1609" i="19" s="1"/>
  <c r="I1609" i="19" s="1"/>
  <c r="C1609" i="19" s="1"/>
  <c r="F1674" i="19"/>
  <c r="D1674" i="19"/>
  <c r="F1678" i="19"/>
  <c r="D1678" i="19"/>
  <c r="G1576" i="19"/>
  <c r="G1612" i="19"/>
  <c r="G1645" i="19"/>
  <c r="G1551" i="19"/>
  <c r="D1647" i="19"/>
  <c r="E1674" i="19"/>
  <c r="E1678" i="19"/>
  <c r="C1711" i="19"/>
  <c r="H1711" i="19"/>
  <c r="I1711" i="19" s="1"/>
  <c r="H1600" i="19"/>
  <c r="I1600" i="19" s="1"/>
  <c r="C1600" i="19" s="1"/>
  <c r="G1610" i="19"/>
  <c r="H1566" i="19"/>
  <c r="F1647" i="19"/>
  <c r="D1648" i="19"/>
  <c r="H1649" i="19"/>
  <c r="I1649" i="19" s="1"/>
  <c r="C1649" i="19" s="1"/>
  <c r="E1648" i="19"/>
  <c r="F1658" i="19"/>
  <c r="F1660" i="19"/>
  <c r="E1670" i="19"/>
  <c r="F1672" i="19"/>
  <c r="C1704" i="19"/>
  <c r="G1705" i="19"/>
  <c r="C1706" i="19"/>
  <c r="C1708" i="19"/>
  <c r="C1710" i="19"/>
  <c r="C1712" i="19"/>
  <c r="H1706" i="19"/>
  <c r="I1706" i="19" s="1"/>
  <c r="H1708" i="19"/>
  <c r="I1708" i="19" s="1"/>
  <c r="H1710" i="19"/>
  <c r="I1710" i="19" s="1"/>
  <c r="H1712" i="19"/>
  <c r="I1712" i="19" s="1"/>
  <c r="I382" i="19" l="1"/>
  <c r="I380" i="19"/>
  <c r="I384" i="19"/>
  <c r="C384" i="19" s="1"/>
  <c r="I379" i="19"/>
  <c r="I378" i="19"/>
  <c r="C377" i="19"/>
  <c r="H1679" i="19"/>
  <c r="I1679" i="19" s="1"/>
  <c r="G1667" i="19"/>
  <c r="C1667" i="19" s="1"/>
  <c r="I621" i="19"/>
  <c r="I619" i="19"/>
  <c r="C619" i="19" s="1"/>
  <c r="I624" i="19"/>
  <c r="C624" i="19" s="1"/>
  <c r="H1451" i="19"/>
  <c r="I1451" i="19" s="1"/>
  <c r="C1451" i="19" s="1"/>
  <c r="H1377" i="19"/>
  <c r="I231" i="19"/>
  <c r="C231" i="19" s="1"/>
  <c r="G1533" i="19"/>
  <c r="H1533" i="19" s="1"/>
  <c r="I1533" i="19" s="1"/>
  <c r="C1533" i="19" s="1"/>
  <c r="G1442" i="19"/>
  <c r="C228" i="19"/>
  <c r="I227" i="19"/>
  <c r="C227" i="19" s="1"/>
  <c r="C226" i="19"/>
  <c r="I232" i="19"/>
  <c r="C232" i="19" s="1"/>
  <c r="G1450" i="19"/>
  <c r="C378" i="19"/>
  <c r="H1607" i="19"/>
  <c r="I1607" i="19" s="1"/>
  <c r="C1607" i="19" s="1"/>
  <c r="G1121" i="19"/>
  <c r="H1121" i="19" s="1"/>
  <c r="I1121" i="19" s="1"/>
  <c r="C1121" i="19" s="1"/>
  <c r="C381" i="19"/>
  <c r="C380" i="19"/>
  <c r="I622" i="19"/>
  <c r="I620" i="19"/>
  <c r="C620" i="19" s="1"/>
  <c r="C618" i="19"/>
  <c r="H1358" i="19"/>
  <c r="I1358" i="19" s="1"/>
  <c r="C1358" i="19" s="1"/>
  <c r="C572" i="19"/>
  <c r="C569" i="19"/>
  <c r="C566" i="19"/>
  <c r="C571" i="19"/>
  <c r="I410" i="19"/>
  <c r="I415" i="19" s="1"/>
  <c r="C415" i="19" s="1"/>
  <c r="I31" i="19"/>
  <c r="C31" i="19" s="1"/>
  <c r="H36" i="19"/>
  <c r="H38" i="19"/>
  <c r="I38" i="19" s="1"/>
  <c r="C38" i="19" s="1"/>
  <c r="H851" i="19"/>
  <c r="C851" i="19" s="1"/>
  <c r="I850" i="19"/>
  <c r="C850" i="19" s="1"/>
  <c r="H159" i="19"/>
  <c r="C159" i="19" s="1"/>
  <c r="H161" i="19"/>
  <c r="C161" i="19" s="1"/>
  <c r="H162" i="19"/>
  <c r="C162" i="19" s="1"/>
  <c r="I164" i="19"/>
  <c r="H167" i="19"/>
  <c r="H514" i="19"/>
  <c r="H24" i="19"/>
  <c r="C24" i="19" s="1"/>
  <c r="H853" i="19"/>
  <c r="C853" i="19" s="1"/>
  <c r="H305" i="19"/>
  <c r="C305" i="19" s="1"/>
  <c r="I859" i="19"/>
  <c r="C859" i="19" s="1"/>
  <c r="H497" i="19"/>
  <c r="C497" i="19" s="1"/>
  <c r="H165" i="19"/>
  <c r="C158" i="19"/>
  <c r="H860" i="19"/>
  <c r="C860" i="19" s="1"/>
  <c r="H693" i="19"/>
  <c r="C693" i="19" s="1"/>
  <c r="I685" i="19"/>
  <c r="C685" i="19" s="1"/>
  <c r="H35" i="19"/>
  <c r="H33" i="19"/>
  <c r="I33" i="19" s="1"/>
  <c r="C33" i="19" s="1"/>
  <c r="H862" i="19"/>
  <c r="C862" i="19" s="1"/>
  <c r="H34" i="19"/>
  <c r="I34" i="19" s="1"/>
  <c r="C34" i="19" s="1"/>
  <c r="H32" i="19"/>
  <c r="I32" i="19" s="1"/>
  <c r="C32" i="19" s="1"/>
  <c r="H691" i="19"/>
  <c r="C691" i="19" s="1"/>
  <c r="H686" i="19"/>
  <c r="C686" i="19" s="1"/>
  <c r="H123" i="19"/>
  <c r="C123" i="19" s="1"/>
  <c r="H690" i="19"/>
  <c r="C690" i="19" s="1"/>
  <c r="H102" i="19"/>
  <c r="C102" i="19" s="1"/>
  <c r="H564" i="19"/>
  <c r="C564" i="19" s="1"/>
  <c r="H694" i="19"/>
  <c r="C694" i="19" s="1"/>
  <c r="H688" i="19"/>
  <c r="C688" i="19" s="1"/>
  <c r="C100" i="19"/>
  <c r="H692" i="19"/>
  <c r="C692" i="19" s="1"/>
  <c r="H687" i="19"/>
  <c r="C687" i="19" s="1"/>
  <c r="H869" i="19"/>
  <c r="C869" i="19" s="1"/>
  <c r="I407" i="19"/>
  <c r="C407" i="19" s="1"/>
  <c r="H81" i="19"/>
  <c r="C81" i="19" s="1"/>
  <c r="H871" i="19"/>
  <c r="C871" i="19" s="1"/>
  <c r="C403" i="19"/>
  <c r="H870" i="19"/>
  <c r="C870" i="19" s="1"/>
  <c r="I495" i="19"/>
  <c r="C495" i="19" s="1"/>
  <c r="I404" i="19"/>
  <c r="C404" i="19" s="1"/>
  <c r="I406" i="19"/>
  <c r="C406" i="19" s="1"/>
  <c r="H458" i="19"/>
  <c r="C458" i="19" s="1"/>
  <c r="H459" i="19"/>
  <c r="C459" i="19" s="1"/>
  <c r="H462" i="19"/>
  <c r="C462" i="19" s="1"/>
  <c r="H778" i="19"/>
  <c r="C778" i="19" s="1"/>
  <c r="I770" i="19"/>
  <c r="C770" i="19" s="1"/>
  <c r="H776" i="19"/>
  <c r="C776" i="19" s="1"/>
  <c r="H779" i="19"/>
  <c r="C779" i="19" s="1"/>
  <c r="H121" i="19"/>
  <c r="C121" i="19" s="1"/>
  <c r="H772" i="19"/>
  <c r="C772" i="19" s="1"/>
  <c r="H413" i="19"/>
  <c r="H125" i="19"/>
  <c r="C125" i="19" s="1"/>
  <c r="H412" i="19"/>
  <c r="H110" i="19"/>
  <c r="C110" i="19" s="1"/>
  <c r="H120" i="19"/>
  <c r="C120" i="19" s="1"/>
  <c r="H774" i="19"/>
  <c r="C774" i="19" s="1"/>
  <c r="H773" i="19"/>
  <c r="C773" i="19" s="1"/>
  <c r="H119" i="19"/>
  <c r="C119" i="19" s="1"/>
  <c r="H124" i="19"/>
  <c r="C124" i="19" s="1"/>
  <c r="H771" i="19"/>
  <c r="C771" i="19" s="1"/>
  <c r="H101" i="19"/>
  <c r="C101" i="19" s="1"/>
  <c r="H122" i="19"/>
  <c r="C122" i="19" s="1"/>
  <c r="H109" i="19"/>
  <c r="C109" i="19" s="1"/>
  <c r="H775" i="19"/>
  <c r="C775" i="19" s="1"/>
  <c r="H112" i="19"/>
  <c r="C112" i="19" s="1"/>
  <c r="H563" i="19"/>
  <c r="C563" i="19" s="1"/>
  <c r="H506" i="19"/>
  <c r="H42" i="19"/>
  <c r="C42" i="19" s="1"/>
  <c r="I36" i="19"/>
  <c r="I502" i="19"/>
  <c r="I506" i="19" s="1"/>
  <c r="H22" i="19"/>
  <c r="C22" i="19" s="1"/>
  <c r="H512" i="19"/>
  <c r="H503" i="19"/>
  <c r="C503" i="19" s="1"/>
  <c r="C21" i="19"/>
  <c r="H508" i="19"/>
  <c r="H43" i="19"/>
  <c r="C43" i="19" s="1"/>
  <c r="H505" i="19"/>
  <c r="H510" i="19"/>
  <c r="H507" i="19"/>
  <c r="H142" i="19"/>
  <c r="H513" i="19"/>
  <c r="H516" i="19"/>
  <c r="H515" i="19"/>
  <c r="I509" i="19"/>
  <c r="I512" i="19" s="1"/>
  <c r="H44" i="19"/>
  <c r="C44" i="19" s="1"/>
  <c r="I304" i="19"/>
  <c r="C304" i="19" s="1"/>
  <c r="H148" i="19"/>
  <c r="C148" i="19" s="1"/>
  <c r="H1225" i="19"/>
  <c r="I1225" i="19" s="1"/>
  <c r="C1225" i="19" s="1"/>
  <c r="C1696" i="19"/>
  <c r="H1696" i="19"/>
  <c r="I1696" i="19" s="1"/>
  <c r="H118" i="19"/>
  <c r="C118" i="19" s="1"/>
  <c r="H103" i="19"/>
  <c r="C103" i="19" s="1"/>
  <c r="H113" i="19"/>
  <c r="C113" i="19" s="1"/>
  <c r="H801" i="19"/>
  <c r="C801" i="19" s="1"/>
  <c r="H799" i="19"/>
  <c r="C799" i="19" s="1"/>
  <c r="I795" i="19"/>
  <c r="C795" i="19" s="1"/>
  <c r="H803" i="19"/>
  <c r="C803" i="19" s="1"/>
  <c r="H796" i="19"/>
  <c r="C796" i="19" s="1"/>
  <c r="H800" i="19"/>
  <c r="C800" i="19" s="1"/>
  <c r="H307" i="19"/>
  <c r="C307" i="19" s="1"/>
  <c r="H308" i="19"/>
  <c r="C308" i="19" s="1"/>
  <c r="H111" i="19"/>
  <c r="C111" i="19" s="1"/>
  <c r="H461" i="19"/>
  <c r="C461" i="19" s="1"/>
  <c r="I457" i="19"/>
  <c r="C457" i="19" s="1"/>
  <c r="G1634" i="19"/>
  <c r="H143" i="19"/>
  <c r="H141" i="19"/>
  <c r="H798" i="19"/>
  <c r="C798" i="19" s="1"/>
  <c r="C623" i="19"/>
  <c r="I230" i="19"/>
  <c r="C230" i="19" s="1"/>
  <c r="I233" i="19"/>
  <c r="C233" i="19" s="1"/>
  <c r="I229" i="19"/>
  <c r="C229" i="19" s="1"/>
  <c r="H797" i="19"/>
  <c r="C797" i="19" s="1"/>
  <c r="J582" i="19"/>
  <c r="H1429" i="19"/>
  <c r="I1368" i="19"/>
  <c r="C1368" i="19" s="1"/>
  <c r="H1037" i="19"/>
  <c r="I1037" i="19" s="1"/>
  <c r="C1037" i="19" s="1"/>
  <c r="I1363" i="19"/>
  <c r="C1363" i="19" s="1"/>
  <c r="H1285" i="19"/>
  <c r="I1285" i="19" s="1"/>
  <c r="C1285" i="19" s="1"/>
  <c r="H1205" i="19"/>
  <c r="I1205" i="19" s="1"/>
  <c r="C1205" i="19" s="1"/>
  <c r="H1126" i="19"/>
  <c r="I1126" i="19" s="1"/>
  <c r="C1126" i="19" s="1"/>
  <c r="H1050" i="19"/>
  <c r="I1050" i="19" s="1"/>
  <c r="C1050" i="19" s="1"/>
  <c r="G1130" i="19"/>
  <c r="H902" i="19"/>
  <c r="I902" i="19" s="1"/>
  <c r="C902" i="19" s="1"/>
  <c r="H921" i="19"/>
  <c r="I921" i="19" s="1"/>
  <c r="C921" i="19" s="1"/>
  <c r="H833" i="19"/>
  <c r="C833" i="19" s="1"/>
  <c r="I832" i="19"/>
  <c r="C832" i="19" s="1"/>
  <c r="H834" i="19"/>
  <c r="C834" i="19" s="1"/>
  <c r="H835" i="19"/>
  <c r="C835" i="19" s="1"/>
  <c r="H998" i="19"/>
  <c r="I998" i="19" s="1"/>
  <c r="C998" i="19" s="1"/>
  <c r="H996" i="19"/>
  <c r="I996" i="19" s="1"/>
  <c r="C996" i="19" s="1"/>
  <c r="H736" i="19"/>
  <c r="C736" i="19" s="1"/>
  <c r="H732" i="19"/>
  <c r="C732" i="19" s="1"/>
  <c r="H731" i="19"/>
  <c r="C731" i="19" s="1"/>
  <c r="H729" i="19"/>
  <c r="C729" i="19" s="1"/>
  <c r="H735" i="19"/>
  <c r="C735" i="19" s="1"/>
  <c r="H733" i="19"/>
  <c r="C733" i="19" s="1"/>
  <c r="H730" i="19"/>
  <c r="C730" i="19" s="1"/>
  <c r="H728" i="19"/>
  <c r="C728" i="19" s="1"/>
  <c r="H734" i="19"/>
  <c r="C734" i="19" s="1"/>
  <c r="I727" i="19"/>
  <c r="C727" i="19" s="1"/>
  <c r="H400" i="19"/>
  <c r="C400" i="19" s="1"/>
  <c r="H398" i="19"/>
  <c r="C398" i="19" s="1"/>
  <c r="H396" i="19"/>
  <c r="C396" i="19" s="1"/>
  <c r="I395" i="19"/>
  <c r="C395" i="19" s="1"/>
  <c r="H399" i="19"/>
  <c r="C399" i="19" s="1"/>
  <c r="H397" i="19"/>
  <c r="C397" i="19" s="1"/>
  <c r="H547" i="19"/>
  <c r="C547" i="19" s="1"/>
  <c r="H545" i="19"/>
  <c r="C545" i="19" s="1"/>
  <c r="H548" i="19"/>
  <c r="C548" i="19" s="1"/>
  <c r="I542" i="19"/>
  <c r="C542" i="19" s="1"/>
  <c r="H546" i="19"/>
  <c r="C546" i="19" s="1"/>
  <c r="H543" i="19"/>
  <c r="C543" i="19" s="1"/>
  <c r="H549" i="19"/>
  <c r="C549" i="19" s="1"/>
  <c r="H544" i="19"/>
  <c r="C544" i="19" s="1"/>
  <c r="C209" i="19"/>
  <c r="H241" i="19"/>
  <c r="C241" i="19" s="1"/>
  <c r="C218" i="19"/>
  <c r="C217" i="19"/>
  <c r="C219" i="19"/>
  <c r="C210" i="19"/>
  <c r="C220" i="19"/>
  <c r="C211" i="19"/>
  <c r="H238" i="19"/>
  <c r="C238" i="19" s="1"/>
  <c r="H239" i="19"/>
  <c r="C239" i="19" s="1"/>
  <c r="I237" i="19"/>
  <c r="C237" i="19" s="1"/>
  <c r="H240" i="19"/>
  <c r="C240" i="19" s="1"/>
  <c r="C208" i="19"/>
  <c r="C207" i="19"/>
  <c r="C221" i="19"/>
  <c r="I285" i="19"/>
  <c r="C285" i="19" s="1"/>
  <c r="I284" i="19"/>
  <c r="C284" i="19" s="1"/>
  <c r="I289" i="19"/>
  <c r="C289" i="19" s="1"/>
  <c r="C282" i="19"/>
  <c r="I283" i="19"/>
  <c r="C283" i="19" s="1"/>
  <c r="I288" i="19"/>
  <c r="C288" i="19" s="1"/>
  <c r="I287" i="19"/>
  <c r="C287" i="19" s="1"/>
  <c r="I286" i="19"/>
  <c r="C286" i="19" s="1"/>
  <c r="H188" i="19"/>
  <c r="C188" i="19" s="1"/>
  <c r="C187" i="19"/>
  <c r="H189" i="19"/>
  <c r="C189" i="19" s="1"/>
  <c r="I167" i="19"/>
  <c r="I166" i="19"/>
  <c r="C166" i="19" s="1"/>
  <c r="I165" i="19"/>
  <c r="C164" i="19"/>
  <c r="H67" i="19"/>
  <c r="C67" i="19" s="1"/>
  <c r="H63" i="19"/>
  <c r="C63" i="19" s="1"/>
  <c r="H66" i="19"/>
  <c r="H60" i="19"/>
  <c r="I59" i="19"/>
  <c r="I65" i="19" s="1"/>
  <c r="H65" i="19"/>
  <c r="G64" i="19"/>
  <c r="H64" i="19" s="1"/>
  <c r="C64" i="19" s="1"/>
  <c r="H61" i="19"/>
  <c r="H68" i="19"/>
  <c r="C68" i="19" s="1"/>
  <c r="H62" i="19"/>
  <c r="H17" i="19"/>
  <c r="H15" i="19"/>
  <c r="H14" i="19"/>
  <c r="I13" i="19"/>
  <c r="H16" i="19"/>
  <c r="C16" i="19" s="1"/>
  <c r="H18" i="19"/>
  <c r="C1705" i="19"/>
  <c r="H1705" i="19"/>
  <c r="I1705" i="19" s="1"/>
  <c r="H899" i="19"/>
  <c r="I899" i="19" s="1"/>
  <c r="C899" i="19" s="1"/>
  <c r="H1612" i="19"/>
  <c r="I1612" i="19" s="1"/>
  <c r="C1612" i="19" s="1"/>
  <c r="H1055" i="19"/>
  <c r="I1055" i="19" s="1"/>
  <c r="C1055" i="19" s="1"/>
  <c r="H878" i="19"/>
  <c r="C878" i="19" s="1"/>
  <c r="I877" i="19"/>
  <c r="C877" i="19" s="1"/>
  <c r="H879" i="19"/>
  <c r="C879" i="19" s="1"/>
  <c r="H880" i="19"/>
  <c r="C880" i="19" s="1"/>
  <c r="H910" i="19"/>
  <c r="I910" i="19" s="1"/>
  <c r="C910" i="19" s="1"/>
  <c r="H933" i="19"/>
  <c r="I933" i="19" s="1"/>
  <c r="C933" i="19" s="1"/>
  <c r="H818" i="19"/>
  <c r="H817" i="19"/>
  <c r="H816" i="19"/>
  <c r="I815" i="19"/>
  <c r="H819" i="19"/>
  <c r="C382" i="19"/>
  <c r="H611" i="19"/>
  <c r="C611" i="19" s="1"/>
  <c r="H613" i="19"/>
  <c r="C613" i="19" s="1"/>
  <c r="H609" i="19"/>
  <c r="C609" i="19" s="1"/>
  <c r="H610" i="19"/>
  <c r="C610" i="19" s="1"/>
  <c r="H612" i="19"/>
  <c r="C612" i="19" s="1"/>
  <c r="I607" i="19"/>
  <c r="C607" i="19" s="1"/>
  <c r="H608" i="19"/>
  <c r="C608" i="19" s="1"/>
  <c r="H614" i="19"/>
  <c r="C614" i="19" s="1"/>
  <c r="I599" i="19"/>
  <c r="C599" i="19" s="1"/>
  <c r="C598" i="19"/>
  <c r="I602" i="19"/>
  <c r="C602" i="19" s="1"/>
  <c r="I601" i="19"/>
  <c r="C601" i="19" s="1"/>
  <c r="I604" i="19"/>
  <c r="C604" i="19" s="1"/>
  <c r="I600" i="19"/>
  <c r="C600" i="19" s="1"/>
  <c r="I603" i="19"/>
  <c r="C603" i="19" s="1"/>
  <c r="H259" i="19"/>
  <c r="H264" i="19"/>
  <c r="H258" i="19"/>
  <c r="H263" i="19"/>
  <c r="H262" i="19"/>
  <c r="I257" i="19"/>
  <c r="I373" i="19"/>
  <c r="C373" i="19" s="1"/>
  <c r="I369" i="19"/>
  <c r="C369" i="19" s="1"/>
  <c r="I371" i="19"/>
  <c r="C371" i="19" s="1"/>
  <c r="C368" i="19"/>
  <c r="I370" i="19"/>
  <c r="C370" i="19" s="1"/>
  <c r="I372" i="19"/>
  <c r="C372" i="19" s="1"/>
  <c r="G290" i="19"/>
  <c r="H1610" i="19"/>
  <c r="I1610" i="19" s="1"/>
  <c r="C1610" i="19" s="1"/>
  <c r="G1635" i="19"/>
  <c r="G1573" i="19"/>
  <c r="G1556" i="19" s="1"/>
  <c r="H1557" i="19"/>
  <c r="G1587" i="19"/>
  <c r="H1459" i="19"/>
  <c r="I1459" i="19" s="1"/>
  <c r="C1459" i="19" s="1"/>
  <c r="I1375" i="19"/>
  <c r="C1375" i="19" s="1"/>
  <c r="I1430" i="19"/>
  <c r="C1430" i="19" s="1"/>
  <c r="H1120" i="19"/>
  <c r="I1120" i="19" s="1"/>
  <c r="C1120" i="19" s="1"/>
  <c r="H1053" i="19"/>
  <c r="I1053" i="19" s="1"/>
  <c r="C1053" i="19" s="1"/>
  <c r="H679" i="19"/>
  <c r="C679" i="19" s="1"/>
  <c r="H680" i="19"/>
  <c r="C680" i="19" s="1"/>
  <c r="H676" i="19"/>
  <c r="C676" i="19" s="1"/>
  <c r="H672" i="19"/>
  <c r="C672" i="19" s="1"/>
  <c r="I671" i="19"/>
  <c r="C671" i="19" s="1"/>
  <c r="H681" i="19"/>
  <c r="C681" i="19" s="1"/>
  <c r="H677" i="19"/>
  <c r="C677" i="19" s="1"/>
  <c r="H678" i="19"/>
  <c r="C678" i="19" s="1"/>
  <c r="H674" i="19"/>
  <c r="C674" i="19" s="1"/>
  <c r="H675" i="19"/>
  <c r="C675" i="19" s="1"/>
  <c r="C622" i="19"/>
  <c r="H362" i="19"/>
  <c r="C362" i="19" s="1"/>
  <c r="H360" i="19"/>
  <c r="C360" i="19" s="1"/>
  <c r="H361" i="19"/>
  <c r="C361" i="19" s="1"/>
  <c r="H363" i="19"/>
  <c r="C363" i="19" s="1"/>
  <c r="H359" i="19"/>
  <c r="C359" i="19" s="1"/>
  <c r="H358" i="19"/>
  <c r="C358" i="19" s="1"/>
  <c r="I357" i="19"/>
  <c r="C357" i="19" s="1"/>
  <c r="H523" i="19"/>
  <c r="I522" i="19"/>
  <c r="H529" i="19"/>
  <c r="H524" i="19"/>
  <c r="H525" i="19"/>
  <c r="H526" i="19"/>
  <c r="H527" i="19"/>
  <c r="H528" i="19"/>
  <c r="H174" i="19"/>
  <c r="C174" i="19" s="1"/>
  <c r="C173" i="19"/>
  <c r="H175" i="19"/>
  <c r="C175" i="19" s="1"/>
  <c r="H247" i="19"/>
  <c r="C247" i="19" s="1"/>
  <c r="H252" i="19"/>
  <c r="C252" i="19" s="1"/>
  <c r="H248" i="19"/>
  <c r="C248" i="19" s="1"/>
  <c r="I246" i="19"/>
  <c r="C246" i="19" s="1"/>
  <c r="H249" i="19"/>
  <c r="C249" i="19" s="1"/>
  <c r="H250" i="19"/>
  <c r="C250" i="19" s="1"/>
  <c r="H251" i="19"/>
  <c r="C251" i="19" s="1"/>
  <c r="C140" i="19"/>
  <c r="I143" i="19"/>
  <c r="I142" i="19"/>
  <c r="I141" i="19"/>
  <c r="H136" i="19"/>
  <c r="H135" i="19"/>
  <c r="I133" i="19"/>
  <c r="H134" i="19"/>
  <c r="I1558" i="19"/>
  <c r="C1558" i="19" s="1"/>
  <c r="H1545" i="19"/>
  <c r="I1545" i="19" s="1"/>
  <c r="C1545" i="19" s="1"/>
  <c r="I1357" i="19"/>
  <c r="C1357" i="19" s="1"/>
  <c r="H908" i="19"/>
  <c r="I908" i="19" s="1"/>
  <c r="C908" i="19" s="1"/>
  <c r="H997" i="19"/>
  <c r="I997" i="19" s="1"/>
  <c r="C997" i="19" s="1"/>
  <c r="H825" i="19"/>
  <c r="C825" i="19" s="1"/>
  <c r="H826" i="19"/>
  <c r="C826" i="19" s="1"/>
  <c r="H824" i="19"/>
  <c r="C824" i="19" s="1"/>
  <c r="I823" i="19"/>
  <c r="C823" i="19" s="1"/>
  <c r="H923" i="19"/>
  <c r="I923" i="19" s="1"/>
  <c r="C923" i="19" s="1"/>
  <c r="H651" i="19"/>
  <c r="C651" i="19" s="1"/>
  <c r="H647" i="19"/>
  <c r="C647" i="19" s="1"/>
  <c r="H652" i="19"/>
  <c r="C652" i="19" s="1"/>
  <c r="H648" i="19"/>
  <c r="C648" i="19" s="1"/>
  <c r="H644" i="19"/>
  <c r="C644" i="19" s="1"/>
  <c r="I643" i="19"/>
  <c r="C643" i="19" s="1"/>
  <c r="H649" i="19"/>
  <c r="C649" i="19" s="1"/>
  <c r="H645" i="19"/>
  <c r="C645" i="19" s="1"/>
  <c r="H650" i="19"/>
  <c r="C650" i="19" s="1"/>
  <c r="H646" i="19"/>
  <c r="C646" i="19" s="1"/>
  <c r="H556" i="19"/>
  <c r="C556" i="19" s="1"/>
  <c r="I553" i="19"/>
  <c r="C553" i="19" s="1"/>
  <c r="H559" i="19"/>
  <c r="C559" i="19" s="1"/>
  <c r="H554" i="19"/>
  <c r="C554" i="19" s="1"/>
  <c r="H557" i="19"/>
  <c r="C557" i="19" s="1"/>
  <c r="H555" i="19"/>
  <c r="C555" i="19" s="1"/>
  <c r="H558" i="19"/>
  <c r="C558" i="19" s="1"/>
  <c r="H451" i="19"/>
  <c r="C451" i="19" s="1"/>
  <c r="H449" i="19"/>
  <c r="C449" i="19" s="1"/>
  <c r="I448" i="19"/>
  <c r="C448" i="19" s="1"/>
  <c r="H452" i="19"/>
  <c r="C452" i="19" s="1"/>
  <c r="H450" i="19"/>
  <c r="C450" i="19" s="1"/>
  <c r="I632" i="19"/>
  <c r="C632" i="19" s="1"/>
  <c r="I631" i="19"/>
  <c r="C631" i="19" s="1"/>
  <c r="I629" i="19"/>
  <c r="C629" i="19" s="1"/>
  <c r="I628" i="19"/>
  <c r="C628" i="19" s="1"/>
  <c r="C627" i="19"/>
  <c r="I630" i="19"/>
  <c r="C630" i="19" s="1"/>
  <c r="H750" i="19"/>
  <c r="C750" i="19" s="1"/>
  <c r="H746" i="19"/>
  <c r="C746" i="19" s="1"/>
  <c r="H742" i="19"/>
  <c r="C742" i="19" s="1"/>
  <c r="H751" i="19"/>
  <c r="C751" i="19" s="1"/>
  <c r="H747" i="19"/>
  <c r="C747" i="19" s="1"/>
  <c r="H748" i="19"/>
  <c r="C748" i="19" s="1"/>
  <c r="H744" i="19"/>
  <c r="C744" i="19" s="1"/>
  <c r="H743" i="19"/>
  <c r="C743" i="19" s="1"/>
  <c r="H745" i="19"/>
  <c r="C745" i="19" s="1"/>
  <c r="H749" i="19"/>
  <c r="C749" i="19" s="1"/>
  <c r="H741" i="19"/>
  <c r="C741" i="19" s="1"/>
  <c r="I740" i="19"/>
  <c r="C740" i="19" s="1"/>
  <c r="H640" i="19"/>
  <c r="C640" i="19" s="1"/>
  <c r="H636" i="19"/>
  <c r="C636" i="19" s="1"/>
  <c r="I635" i="19"/>
  <c r="C635" i="19" s="1"/>
  <c r="H638" i="19"/>
  <c r="C638" i="19" s="1"/>
  <c r="H637" i="19"/>
  <c r="C637" i="19" s="1"/>
  <c r="H639" i="19"/>
  <c r="C639" i="19" s="1"/>
  <c r="H419" i="19"/>
  <c r="C419" i="19" s="1"/>
  <c r="I418" i="19"/>
  <c r="C418" i="19" s="1"/>
  <c r="H422" i="19"/>
  <c r="C422" i="19" s="1"/>
  <c r="H420" i="19"/>
  <c r="C420" i="19" s="1"/>
  <c r="H423" i="19"/>
  <c r="C423" i="19" s="1"/>
  <c r="H421" i="19"/>
  <c r="C421" i="19" s="1"/>
  <c r="H330" i="19"/>
  <c r="C330" i="19" s="1"/>
  <c r="I328" i="19"/>
  <c r="C328" i="19" s="1"/>
  <c r="H331" i="19"/>
  <c r="C331" i="19" s="1"/>
  <c r="H329" i="19"/>
  <c r="C329" i="19" s="1"/>
  <c r="H332" i="19"/>
  <c r="C332" i="19" s="1"/>
  <c r="H317" i="19"/>
  <c r="C317" i="19" s="1"/>
  <c r="H314" i="19"/>
  <c r="C314" i="19" s="1"/>
  <c r="I313" i="19"/>
  <c r="C313" i="19" s="1"/>
  <c r="H315" i="19"/>
  <c r="C315" i="19" s="1"/>
  <c r="H318" i="19"/>
  <c r="C318" i="19" s="1"/>
  <c r="H316" i="19"/>
  <c r="C316" i="19" s="1"/>
  <c r="H342" i="19"/>
  <c r="C342" i="19" s="1"/>
  <c r="H338" i="19"/>
  <c r="C338" i="19" s="1"/>
  <c r="H340" i="19"/>
  <c r="C340" i="19" s="1"/>
  <c r="H339" i="19"/>
  <c r="C339" i="19" s="1"/>
  <c r="I337" i="19"/>
  <c r="C337" i="19" s="1"/>
  <c r="H341" i="19"/>
  <c r="C341" i="19" s="1"/>
  <c r="H74" i="19"/>
  <c r="C74" i="19" s="1"/>
  <c r="H79" i="19"/>
  <c r="C79" i="19" s="1"/>
  <c r="H70" i="19"/>
  <c r="H71" i="19"/>
  <c r="I69" i="19"/>
  <c r="H78" i="19"/>
  <c r="C78" i="19" s="1"/>
  <c r="H72" i="19"/>
  <c r="H73" i="19"/>
  <c r="C73" i="19" s="1"/>
  <c r="H76" i="19"/>
  <c r="H75" i="19"/>
  <c r="G1448" i="19"/>
  <c r="H1359" i="19"/>
  <c r="H1058" i="19"/>
  <c r="I1058" i="19" s="1"/>
  <c r="C1058" i="19" s="1"/>
  <c r="C1450" i="19"/>
  <c r="I1371" i="19"/>
  <c r="C1371" i="19" s="1"/>
  <c r="I1413" i="19"/>
  <c r="C1413" i="19" s="1"/>
  <c r="H1380" i="19"/>
  <c r="I1402" i="19"/>
  <c r="C1402" i="19" s="1"/>
  <c r="G1446" i="19"/>
  <c r="H1447" i="19"/>
  <c r="I1447" i="19" s="1"/>
  <c r="C1447" i="19" s="1"/>
  <c r="H1051" i="19"/>
  <c r="I1051" i="19" s="1"/>
  <c r="C1051" i="19" s="1"/>
  <c r="H987" i="19"/>
  <c r="I987" i="19" s="1"/>
  <c r="C987" i="19" s="1"/>
  <c r="H1047" i="19"/>
  <c r="I1047" i="19" s="1"/>
  <c r="C1047" i="19" s="1"/>
  <c r="H1630" i="19"/>
  <c r="I1630" i="19" s="1"/>
  <c r="C1630" i="19" s="1"/>
  <c r="I1378" i="19"/>
  <c r="C1378" i="19" s="1"/>
  <c r="G1356" i="19"/>
  <c r="H1166" i="19"/>
  <c r="I1166" i="19" s="1"/>
  <c r="C1166" i="19" s="1"/>
  <c r="H1424" i="19"/>
  <c r="I1575" i="19"/>
  <c r="C1575" i="19" s="1"/>
  <c r="G1395" i="19"/>
  <c r="G1397" i="19"/>
  <c r="H1394" i="19"/>
  <c r="I1382" i="19"/>
  <c r="C1382" i="19" s="1"/>
  <c r="I1247" i="19"/>
  <c r="C1247" i="19" s="1"/>
  <c r="H1194" i="19"/>
  <c r="I1194" i="19" s="1"/>
  <c r="C1194" i="19" s="1"/>
  <c r="H1043" i="19"/>
  <c r="I1043" i="19" s="1"/>
  <c r="C1043" i="19" s="1"/>
  <c r="H1123" i="19"/>
  <c r="I1123" i="19" s="1"/>
  <c r="C1123" i="19" s="1"/>
  <c r="I809" i="19"/>
  <c r="C809" i="19" s="1"/>
  <c r="I810" i="19"/>
  <c r="C810" i="19" s="1"/>
  <c r="I808" i="19"/>
  <c r="C808" i="19" s="1"/>
  <c r="C807" i="19"/>
  <c r="I811" i="19"/>
  <c r="C811" i="19" s="1"/>
  <c r="H722" i="19"/>
  <c r="C722" i="19" s="1"/>
  <c r="H718" i="19"/>
  <c r="C718" i="19" s="1"/>
  <c r="H723" i="19"/>
  <c r="C723" i="19" s="1"/>
  <c r="H719" i="19"/>
  <c r="C719" i="19" s="1"/>
  <c r="H720" i="19"/>
  <c r="C720" i="19" s="1"/>
  <c r="H716" i="19"/>
  <c r="C716" i="19" s="1"/>
  <c r="H721" i="19"/>
  <c r="C721" i="19" s="1"/>
  <c r="H717" i="19"/>
  <c r="C717" i="19" s="1"/>
  <c r="I713" i="19"/>
  <c r="C713" i="19" s="1"/>
  <c r="H714" i="19"/>
  <c r="C714" i="19" s="1"/>
  <c r="C379" i="19"/>
  <c r="H442" i="19"/>
  <c r="C442" i="19" s="1"/>
  <c r="H440" i="19"/>
  <c r="C440" i="19" s="1"/>
  <c r="H443" i="19"/>
  <c r="C443" i="19" s="1"/>
  <c r="H441" i="19"/>
  <c r="C441" i="19" s="1"/>
  <c r="H439" i="19"/>
  <c r="C439" i="19" s="1"/>
  <c r="I438" i="19"/>
  <c r="C438" i="19" s="1"/>
  <c r="H575" i="19"/>
  <c r="C575" i="19" s="1"/>
  <c r="I574" i="19"/>
  <c r="C574" i="19" s="1"/>
  <c r="H577" i="19"/>
  <c r="C577" i="19" s="1"/>
  <c r="H576" i="19"/>
  <c r="C576" i="19" s="1"/>
  <c r="C568" i="19"/>
  <c r="H391" i="19"/>
  <c r="C391" i="19" s="1"/>
  <c r="H389" i="19"/>
  <c r="C389" i="19" s="1"/>
  <c r="I388" i="19"/>
  <c r="C388" i="19" s="1"/>
  <c r="H392" i="19"/>
  <c r="C392" i="19" s="1"/>
  <c r="H390" i="19"/>
  <c r="C390" i="19" s="1"/>
  <c r="H155" i="19"/>
  <c r="C155" i="19" s="1"/>
  <c r="C154" i="19"/>
  <c r="H58" i="19"/>
  <c r="C58" i="19" s="1"/>
  <c r="H57" i="19"/>
  <c r="C57" i="19" s="1"/>
  <c r="H56" i="19"/>
  <c r="C56" i="19" s="1"/>
  <c r="H54" i="19"/>
  <c r="C54" i="19" s="1"/>
  <c r="H55" i="19"/>
  <c r="C55" i="19" s="1"/>
  <c r="H50" i="19"/>
  <c r="C50" i="19" s="1"/>
  <c r="C49" i="19"/>
  <c r="H51" i="19"/>
  <c r="C51" i="19" s="1"/>
  <c r="H52" i="19"/>
  <c r="C52" i="19" s="1"/>
  <c r="H53" i="19"/>
  <c r="C53" i="19" s="1"/>
  <c r="H1536" i="19"/>
  <c r="I1536" i="19" s="1"/>
  <c r="C1536" i="19" s="1"/>
  <c r="H1370" i="19"/>
  <c r="G1227" i="19"/>
  <c r="H1224" i="19"/>
  <c r="I1224" i="19" s="1"/>
  <c r="C1224" i="19" s="1"/>
  <c r="G1226" i="19"/>
  <c r="H1763" i="19"/>
  <c r="I1763" i="19" s="1"/>
  <c r="H1757" i="19"/>
  <c r="H1753" i="19"/>
  <c r="H1732" i="19"/>
  <c r="H1728" i="19"/>
  <c r="H1750" i="19"/>
  <c r="H1747" i="19"/>
  <c r="H1743" i="19"/>
  <c r="H1739" i="19"/>
  <c r="H1725" i="19"/>
  <c r="H1758" i="19"/>
  <c r="H1754" i="19"/>
  <c r="H1751" i="19"/>
  <c r="I1751" i="19" s="1"/>
  <c r="H1736" i="19"/>
  <c r="H1733" i="19"/>
  <c r="H1729" i="19"/>
  <c r="H1762" i="19"/>
  <c r="I1762" i="19" s="1"/>
  <c r="H1748" i="19"/>
  <c r="H1744" i="19"/>
  <c r="H1740" i="19"/>
  <c r="H1737" i="19"/>
  <c r="I1737" i="19" s="1"/>
  <c r="H1726" i="19"/>
  <c r="H1759" i="19"/>
  <c r="H1755" i="19"/>
  <c r="H1749" i="19"/>
  <c r="I1749" i="19" s="1"/>
  <c r="H1734" i="19"/>
  <c r="H1730" i="19"/>
  <c r="H1760" i="19"/>
  <c r="H1745" i="19"/>
  <c r="H1741" i="19"/>
  <c r="H1735" i="19"/>
  <c r="I1735" i="19" s="1"/>
  <c r="H1761" i="19"/>
  <c r="I1761" i="19" s="1"/>
  <c r="H1756" i="19"/>
  <c r="H1731" i="19"/>
  <c r="H1727" i="19"/>
  <c r="H1746" i="19"/>
  <c r="H1742" i="19"/>
  <c r="H1180" i="19"/>
  <c r="I1180" i="19" s="1"/>
  <c r="C1180" i="19" s="1"/>
  <c r="H1127" i="19"/>
  <c r="I1127" i="19" s="1"/>
  <c r="C1127" i="19" s="1"/>
  <c r="H1124" i="19"/>
  <c r="I1124" i="19" s="1"/>
  <c r="C1124" i="19" s="1"/>
  <c r="H1045" i="19"/>
  <c r="I1045" i="19" s="1"/>
  <c r="C1045" i="19" s="1"/>
  <c r="H993" i="19"/>
  <c r="I993" i="19" s="1"/>
  <c r="C993" i="19" s="1"/>
  <c r="I1392" i="19"/>
  <c r="C1392" i="19" s="1"/>
  <c r="H1070" i="19"/>
  <c r="I1070" i="19" s="1"/>
  <c r="C1070" i="19" s="1"/>
  <c r="H1057" i="19"/>
  <c r="I1057" i="19" s="1"/>
  <c r="C1057" i="19" s="1"/>
  <c r="G1059" i="19"/>
  <c r="H1088" i="19"/>
  <c r="I1088" i="19" s="1"/>
  <c r="C1088" i="19" s="1"/>
  <c r="H906" i="19"/>
  <c r="I906" i="19" s="1"/>
  <c r="C906" i="19" s="1"/>
  <c r="I1566" i="19"/>
  <c r="C1566" i="19" s="1"/>
  <c r="H1442" i="19"/>
  <c r="I1442" i="19" s="1"/>
  <c r="C1442" i="19" s="1"/>
  <c r="H1390" i="19"/>
  <c r="H1438" i="19"/>
  <c r="I1438" i="19" s="1"/>
  <c r="C1438" i="19" s="1"/>
  <c r="H1327" i="19"/>
  <c r="I1327" i="19" s="1"/>
  <c r="C1327" i="19" s="1"/>
  <c r="I1369" i="19"/>
  <c r="C1369" i="19" s="1"/>
  <c r="G1158" i="19"/>
  <c r="C1158" i="19" s="1"/>
  <c r="H1054" i="19"/>
  <c r="I1054" i="19" s="1"/>
  <c r="C1054" i="19" s="1"/>
  <c r="H1041" i="19"/>
  <c r="I1041" i="19" s="1"/>
  <c r="C1041" i="19" s="1"/>
  <c r="H1117" i="19"/>
  <c r="I1117" i="19" s="1"/>
  <c r="C1117" i="19" s="1"/>
  <c r="H1071" i="19"/>
  <c r="I1071" i="19" s="1"/>
  <c r="C1071" i="19" s="1"/>
  <c r="H1125" i="19"/>
  <c r="I1125" i="19" s="1"/>
  <c r="C1125" i="19" s="1"/>
  <c r="H995" i="19"/>
  <c r="I995" i="19" s="1"/>
  <c r="C995" i="19" s="1"/>
  <c r="H842" i="19"/>
  <c r="C842" i="19" s="1"/>
  <c r="I841" i="19"/>
  <c r="C841" i="19" s="1"/>
  <c r="H843" i="19"/>
  <c r="C843" i="19" s="1"/>
  <c r="H844" i="19"/>
  <c r="C844" i="19" s="1"/>
  <c r="C621" i="19"/>
  <c r="H489" i="19"/>
  <c r="C489" i="19" s="1"/>
  <c r="H490" i="19"/>
  <c r="C490" i="19" s="1"/>
  <c r="H488" i="19"/>
  <c r="C488" i="19" s="1"/>
  <c r="I487" i="19"/>
  <c r="C487" i="19" s="1"/>
  <c r="I428" i="19"/>
  <c r="C428" i="19" s="1"/>
  <c r="H432" i="19"/>
  <c r="C432" i="19" s="1"/>
  <c r="H430" i="19"/>
  <c r="C430" i="19" s="1"/>
  <c r="H433" i="19"/>
  <c r="C433" i="19" s="1"/>
  <c r="H431" i="19"/>
  <c r="C431" i="19" s="1"/>
  <c r="H429" i="19"/>
  <c r="C429" i="19" s="1"/>
  <c r="H534" i="19"/>
  <c r="C534" i="19" s="1"/>
  <c r="I533" i="19"/>
  <c r="C533" i="19" s="1"/>
  <c r="H537" i="19"/>
  <c r="C537" i="19" s="1"/>
  <c r="H535" i="19"/>
  <c r="C535" i="19" s="1"/>
  <c r="H538" i="19"/>
  <c r="C538" i="19" s="1"/>
  <c r="H536" i="19"/>
  <c r="C536" i="19" s="1"/>
  <c r="H539" i="19"/>
  <c r="C539" i="19" s="1"/>
  <c r="C567" i="19"/>
  <c r="H200" i="19"/>
  <c r="C200" i="19" s="1"/>
  <c r="C198" i="19"/>
  <c r="H199" i="19"/>
  <c r="C199" i="19" s="1"/>
  <c r="K235" i="19"/>
  <c r="G234" i="19"/>
  <c r="H299" i="19"/>
  <c r="C299" i="19" s="1"/>
  <c r="H295" i="19"/>
  <c r="C295" i="19" s="1"/>
  <c r="I293" i="19"/>
  <c r="C293" i="19" s="1"/>
  <c r="H296" i="19"/>
  <c r="C296" i="19" s="1"/>
  <c r="H297" i="19"/>
  <c r="C297" i="19" s="1"/>
  <c r="H298" i="19"/>
  <c r="C298" i="19" s="1"/>
  <c r="H294" i="19"/>
  <c r="C294" i="19" s="1"/>
  <c r="I1389" i="19"/>
  <c r="C1389" i="19" s="1"/>
  <c r="H1391" i="19"/>
  <c r="I1377" i="19"/>
  <c r="C1377" i="19" s="1"/>
  <c r="H1437" i="19"/>
  <c r="I1437" i="19" s="1"/>
  <c r="C1437" i="19" s="1"/>
  <c r="I1406" i="19"/>
  <c r="C1406" i="19" s="1"/>
  <c r="H1192" i="19"/>
  <c r="I1192" i="19" s="1"/>
  <c r="C1192" i="19" s="1"/>
  <c r="H1067" i="19"/>
  <c r="I1067" i="19" s="1"/>
  <c r="C1067" i="19" s="1"/>
  <c r="H1128" i="19"/>
  <c r="I1128" i="19" s="1"/>
  <c r="C1128" i="19" s="1"/>
  <c r="H1039" i="19"/>
  <c r="I1039" i="19" s="1"/>
  <c r="C1039" i="19" s="1"/>
  <c r="H1098" i="19"/>
  <c r="I1098" i="19" s="1"/>
  <c r="C1098" i="19" s="1"/>
  <c r="H887" i="19"/>
  <c r="C887" i="19" s="1"/>
  <c r="I886" i="19"/>
  <c r="C886" i="19" s="1"/>
  <c r="H889" i="19"/>
  <c r="C889" i="19" s="1"/>
  <c r="H888" i="19"/>
  <c r="C888" i="19" s="1"/>
  <c r="H897" i="19"/>
  <c r="I897" i="19" s="1"/>
  <c r="C897" i="19" s="1"/>
  <c r="G896" i="19"/>
  <c r="H757" i="19"/>
  <c r="C757" i="19" s="1"/>
  <c r="I756" i="19"/>
  <c r="C756" i="19" s="1"/>
  <c r="H766" i="19"/>
  <c r="C766" i="19" s="1"/>
  <c r="H762" i="19"/>
  <c r="C762" i="19" s="1"/>
  <c r="H758" i="19"/>
  <c r="C758" i="19" s="1"/>
  <c r="H763" i="19"/>
  <c r="C763" i="19" s="1"/>
  <c r="H761" i="19"/>
  <c r="C761" i="19" s="1"/>
  <c r="H765" i="19"/>
  <c r="C765" i="19" s="1"/>
  <c r="H715" i="19"/>
  <c r="C715" i="19" s="1"/>
  <c r="H760" i="19"/>
  <c r="C760" i="19" s="1"/>
  <c r="H673" i="19"/>
  <c r="C673" i="19" s="1"/>
  <c r="H764" i="19"/>
  <c r="C764" i="19" s="1"/>
  <c r="H759" i="19"/>
  <c r="C759" i="19" s="1"/>
  <c r="H481" i="19"/>
  <c r="C481" i="19" s="1"/>
  <c r="H479" i="19"/>
  <c r="C479" i="19" s="1"/>
  <c r="H482" i="19"/>
  <c r="C482" i="19" s="1"/>
  <c r="H480" i="19"/>
  <c r="C480" i="19" s="1"/>
  <c r="H478" i="19"/>
  <c r="C478" i="19" s="1"/>
  <c r="I477" i="19"/>
  <c r="C477" i="19" s="1"/>
  <c r="J622" i="19"/>
  <c r="C570" i="19"/>
  <c r="H349" i="19"/>
  <c r="C349" i="19" s="1"/>
  <c r="I347" i="19"/>
  <c r="C347" i="19" s="1"/>
  <c r="H350" i="19"/>
  <c r="C350" i="19" s="1"/>
  <c r="H352" i="19"/>
  <c r="C352" i="19" s="1"/>
  <c r="H351" i="19"/>
  <c r="C351" i="19" s="1"/>
  <c r="H348" i="19"/>
  <c r="C348" i="19" s="1"/>
  <c r="I181" i="19"/>
  <c r="C181" i="19" s="1"/>
  <c r="I183" i="19"/>
  <c r="C183" i="19" s="1"/>
  <c r="C180" i="19"/>
  <c r="I182" i="19"/>
  <c r="C182" i="19" s="1"/>
  <c r="H1387" i="19"/>
  <c r="I1381" i="19"/>
  <c r="C1381" i="19" s="1"/>
  <c r="H1193" i="19"/>
  <c r="I1193" i="19" s="1"/>
  <c r="C1193" i="19" s="1"/>
  <c r="H1069" i="19"/>
  <c r="I1069" i="19" s="1"/>
  <c r="C1069" i="19" s="1"/>
  <c r="H789" i="19"/>
  <c r="C789" i="19" s="1"/>
  <c r="H790" i="19"/>
  <c r="C790" i="19" s="1"/>
  <c r="H786" i="19"/>
  <c r="C786" i="19" s="1"/>
  <c r="H791" i="19"/>
  <c r="C791" i="19" s="1"/>
  <c r="H787" i="19"/>
  <c r="C787" i="19" s="1"/>
  <c r="H788" i="19"/>
  <c r="C788" i="19" s="1"/>
  <c r="H784" i="19"/>
  <c r="C784" i="19" s="1"/>
  <c r="I783" i="19"/>
  <c r="C783" i="19" s="1"/>
  <c r="H785" i="19"/>
  <c r="C785" i="19" s="1"/>
  <c r="H699" i="19"/>
  <c r="C699" i="19" s="1"/>
  <c r="I698" i="19"/>
  <c r="C698" i="19" s="1"/>
  <c r="H708" i="19"/>
  <c r="C708" i="19" s="1"/>
  <c r="H704" i="19"/>
  <c r="C704" i="19" s="1"/>
  <c r="H700" i="19"/>
  <c r="C700" i="19" s="1"/>
  <c r="H705" i="19"/>
  <c r="C705" i="19" s="1"/>
  <c r="H701" i="19"/>
  <c r="C701" i="19" s="1"/>
  <c r="H706" i="19"/>
  <c r="C706" i="19" s="1"/>
  <c r="H702" i="19"/>
  <c r="C702" i="19" s="1"/>
  <c r="H707" i="19"/>
  <c r="C707" i="19" s="1"/>
  <c r="H703" i="19"/>
  <c r="C703" i="19" s="1"/>
  <c r="H657" i="19"/>
  <c r="C657" i="19" s="1"/>
  <c r="I656" i="19"/>
  <c r="C656" i="19" s="1"/>
  <c r="H666" i="19"/>
  <c r="C666" i="19" s="1"/>
  <c r="H662" i="19"/>
  <c r="C662" i="19" s="1"/>
  <c r="H658" i="19"/>
  <c r="C658" i="19" s="1"/>
  <c r="H663" i="19"/>
  <c r="C663" i="19" s="1"/>
  <c r="H659" i="19"/>
  <c r="C659" i="19" s="1"/>
  <c r="H664" i="19"/>
  <c r="C664" i="19" s="1"/>
  <c r="H660" i="19"/>
  <c r="C660" i="19" s="1"/>
  <c r="H665" i="19"/>
  <c r="C665" i="19" s="1"/>
  <c r="H661" i="19"/>
  <c r="C661" i="19" s="1"/>
  <c r="I579" i="19"/>
  <c r="C579" i="19" s="1"/>
  <c r="C578" i="19"/>
  <c r="I580" i="19"/>
  <c r="C580" i="19" s="1"/>
  <c r="I581" i="19"/>
  <c r="C581" i="19" s="1"/>
  <c r="I586" i="19"/>
  <c r="C586" i="19" s="1"/>
  <c r="I582" i="19"/>
  <c r="C582" i="19" s="1"/>
  <c r="I583" i="19"/>
  <c r="C583" i="19" s="1"/>
  <c r="I584" i="19"/>
  <c r="C584" i="19" s="1"/>
  <c r="I585" i="19"/>
  <c r="C585" i="19" s="1"/>
  <c r="H595" i="19"/>
  <c r="C595" i="19" s="1"/>
  <c r="H591" i="19"/>
  <c r="C591" i="19" s="1"/>
  <c r="H593" i="19"/>
  <c r="C593" i="19" s="1"/>
  <c r="H592" i="19"/>
  <c r="C592" i="19" s="1"/>
  <c r="I589" i="19"/>
  <c r="C589" i="19" s="1"/>
  <c r="H594" i="19"/>
  <c r="C594" i="19" s="1"/>
  <c r="H590" i="19"/>
  <c r="C590" i="19" s="1"/>
  <c r="H520" i="19"/>
  <c r="C520" i="19" s="1"/>
  <c r="H521" i="19"/>
  <c r="C521" i="19" s="1"/>
  <c r="I518" i="19"/>
  <c r="C518" i="19" s="1"/>
  <c r="H519" i="19"/>
  <c r="C519" i="19" s="1"/>
  <c r="H471" i="19"/>
  <c r="C471" i="19" s="1"/>
  <c r="H469" i="19"/>
  <c r="C469" i="19" s="1"/>
  <c r="H472" i="19"/>
  <c r="C472" i="19" s="1"/>
  <c r="H470" i="19"/>
  <c r="C470" i="19" s="1"/>
  <c r="H468" i="19"/>
  <c r="C468" i="19" s="1"/>
  <c r="I467" i="19"/>
  <c r="C467" i="19" s="1"/>
  <c r="H271" i="19"/>
  <c r="C271" i="19" s="1"/>
  <c r="H276" i="19"/>
  <c r="C276" i="19" s="1"/>
  <c r="H272" i="19"/>
  <c r="C272" i="19" s="1"/>
  <c r="H273" i="19"/>
  <c r="C273" i="19" s="1"/>
  <c r="H275" i="19"/>
  <c r="C275" i="19" s="1"/>
  <c r="H269" i="19"/>
  <c r="C269" i="19" s="1"/>
  <c r="H270" i="19"/>
  <c r="C270" i="19" s="1"/>
  <c r="I268" i="19"/>
  <c r="C268" i="19" s="1"/>
  <c r="G274" i="19"/>
  <c r="H99" i="19"/>
  <c r="C99" i="19" s="1"/>
  <c r="H98" i="19"/>
  <c r="C98" i="19" s="1"/>
  <c r="H94" i="19"/>
  <c r="C94" i="19" s="1"/>
  <c r="H93" i="19"/>
  <c r="C93" i="19" s="1"/>
  <c r="H97" i="19"/>
  <c r="C97" i="19" s="1"/>
  <c r="H96" i="19"/>
  <c r="C96" i="19" s="1"/>
  <c r="H92" i="19"/>
  <c r="C92" i="19" s="1"/>
  <c r="C90" i="19"/>
  <c r="H91" i="19"/>
  <c r="C91" i="19" s="1"/>
  <c r="H95" i="19"/>
  <c r="C95" i="19" s="1"/>
  <c r="I412" i="19" l="1"/>
  <c r="C412" i="19" s="1"/>
  <c r="C143" i="19"/>
  <c r="C410" i="19"/>
  <c r="I414" i="19"/>
  <c r="C414" i="19" s="1"/>
  <c r="I411" i="19"/>
  <c r="C411" i="19" s="1"/>
  <c r="I413" i="19"/>
  <c r="C413" i="19" s="1"/>
  <c r="I35" i="19"/>
  <c r="C35" i="19" s="1"/>
  <c r="C36" i="19"/>
  <c r="C165" i="19"/>
  <c r="I508" i="19"/>
  <c r="C508" i="19" s="1"/>
  <c r="C502" i="19"/>
  <c r="C167" i="19"/>
  <c r="C506" i="19"/>
  <c r="I505" i="19"/>
  <c r="C505" i="19" s="1"/>
  <c r="I507" i="19"/>
  <c r="C507" i="19" s="1"/>
  <c r="C141" i="19"/>
  <c r="I511" i="19"/>
  <c r="C511" i="19" s="1"/>
  <c r="H82" i="19"/>
  <c r="H83" i="19" s="1"/>
  <c r="H149" i="19"/>
  <c r="C149" i="19" s="1"/>
  <c r="C142" i="19"/>
  <c r="C65" i="19"/>
  <c r="C512" i="19"/>
  <c r="I516" i="19"/>
  <c r="C516" i="19" s="1"/>
  <c r="I510" i="19"/>
  <c r="C510" i="19" s="1"/>
  <c r="C509" i="19"/>
  <c r="I515" i="19"/>
  <c r="C515" i="19" s="1"/>
  <c r="I514" i="19"/>
  <c r="C514" i="19" s="1"/>
  <c r="I513" i="19"/>
  <c r="C513" i="19" s="1"/>
  <c r="H1634" i="19"/>
  <c r="I1634" i="19" s="1"/>
  <c r="C1634" i="19" s="1"/>
  <c r="I1387" i="19"/>
  <c r="C1387" i="19" s="1"/>
  <c r="I1742" i="19"/>
  <c r="I1745" i="19"/>
  <c r="I1750" i="19"/>
  <c r="G1228" i="19"/>
  <c r="I1239" i="19"/>
  <c r="C1239" i="19" s="1"/>
  <c r="C1556" i="19"/>
  <c r="C59" i="19"/>
  <c r="I61" i="19"/>
  <c r="C61" i="19" s="1"/>
  <c r="I66" i="19"/>
  <c r="C66" i="19" s="1"/>
  <c r="I62" i="19"/>
  <c r="C62" i="19" s="1"/>
  <c r="I60" i="19"/>
  <c r="C60" i="19" s="1"/>
  <c r="K234" i="19"/>
  <c r="I1746" i="19"/>
  <c r="I1760" i="19"/>
  <c r="I1740" i="19"/>
  <c r="I1754" i="19"/>
  <c r="I1728" i="19"/>
  <c r="H1635" i="19"/>
  <c r="I1635" i="19" s="1"/>
  <c r="C1635" i="19" s="1"/>
  <c r="I14" i="19"/>
  <c r="C14" i="19" s="1"/>
  <c r="C13" i="19"/>
  <c r="I15" i="19"/>
  <c r="C15" i="19" s="1"/>
  <c r="I18" i="19"/>
  <c r="C18" i="19" s="1"/>
  <c r="I17" i="19"/>
  <c r="C17" i="19" s="1"/>
  <c r="I1727" i="19"/>
  <c r="I1730" i="19"/>
  <c r="I1744" i="19"/>
  <c r="I1758" i="19"/>
  <c r="I1732" i="19"/>
  <c r="I1424" i="19"/>
  <c r="C1424" i="19" s="1"/>
  <c r="C133" i="19"/>
  <c r="I136" i="19"/>
  <c r="C136" i="19" s="1"/>
  <c r="I135" i="19"/>
  <c r="C135" i="19" s="1"/>
  <c r="I134" i="19"/>
  <c r="C134" i="19" s="1"/>
  <c r="I1390" i="19"/>
  <c r="C1390" i="19" s="1"/>
  <c r="I1731" i="19"/>
  <c r="I1734" i="19"/>
  <c r="I1748" i="19"/>
  <c r="I1753" i="19"/>
  <c r="I1370" i="19"/>
  <c r="C1370" i="19" s="1"/>
  <c r="H1446" i="19"/>
  <c r="I1446" i="19" s="1"/>
  <c r="C1446" i="19" s="1"/>
  <c r="I528" i="19"/>
  <c r="C528" i="19" s="1"/>
  <c r="C522" i="19"/>
  <c r="I523" i="19"/>
  <c r="C523" i="19" s="1"/>
  <c r="I524" i="19"/>
  <c r="C524" i="19" s="1"/>
  <c r="I529" i="19"/>
  <c r="C529" i="19" s="1"/>
  <c r="I525" i="19"/>
  <c r="C525" i="19" s="1"/>
  <c r="I526" i="19"/>
  <c r="C526" i="19" s="1"/>
  <c r="I527" i="19"/>
  <c r="C527" i="19" s="1"/>
  <c r="I263" i="19"/>
  <c r="C263" i="19" s="1"/>
  <c r="I262" i="19"/>
  <c r="C262" i="19" s="1"/>
  <c r="I264" i="19"/>
  <c r="C264" i="19" s="1"/>
  <c r="C257" i="19"/>
  <c r="I259" i="19"/>
  <c r="C259" i="19" s="1"/>
  <c r="I258" i="19"/>
  <c r="H1130" i="19"/>
  <c r="I1130" i="19" s="1"/>
  <c r="C1130" i="19" s="1"/>
  <c r="I1756" i="19"/>
  <c r="I1725" i="19"/>
  <c r="I1757" i="19"/>
  <c r="I1394" i="19"/>
  <c r="C1394" i="19" s="1"/>
  <c r="I1359" i="19"/>
  <c r="C1359" i="19" s="1"/>
  <c r="I818" i="19"/>
  <c r="C818" i="19" s="1"/>
  <c r="I819" i="19"/>
  <c r="C819" i="19" s="1"/>
  <c r="I817" i="19"/>
  <c r="C817" i="19" s="1"/>
  <c r="C815" i="19"/>
  <c r="I816" i="19"/>
  <c r="C816" i="19" s="1"/>
  <c r="C896" i="19"/>
  <c r="I1755" i="19"/>
  <c r="I1729" i="19"/>
  <c r="I1739" i="19"/>
  <c r="H1397" i="19"/>
  <c r="G1449" i="19"/>
  <c r="H1448" i="19"/>
  <c r="I1448" i="19" s="1"/>
  <c r="C1448" i="19" s="1"/>
  <c r="G1445" i="19"/>
  <c r="G1588" i="19"/>
  <c r="G1584" i="19"/>
  <c r="H274" i="19"/>
  <c r="C274" i="19" s="1"/>
  <c r="I1391" i="19"/>
  <c r="C1391" i="19" s="1"/>
  <c r="I1759" i="19"/>
  <c r="I1733" i="19"/>
  <c r="I1743" i="19"/>
  <c r="H1226" i="19"/>
  <c r="I1226" i="19" s="1"/>
  <c r="C1226" i="19" s="1"/>
  <c r="G1398" i="19"/>
  <c r="G1396" i="19"/>
  <c r="H1395" i="19"/>
  <c r="C1356" i="19"/>
  <c r="I70" i="19"/>
  <c r="C70" i="19" s="1"/>
  <c r="C69" i="19"/>
  <c r="I71" i="19"/>
  <c r="C71" i="19" s="1"/>
  <c r="I76" i="19"/>
  <c r="C76" i="19" s="1"/>
  <c r="I72" i="19"/>
  <c r="C72" i="19" s="1"/>
  <c r="I75" i="19"/>
  <c r="C75" i="19" s="1"/>
  <c r="I1557" i="19"/>
  <c r="C1557" i="19" s="1"/>
  <c r="H1059" i="19"/>
  <c r="I1059" i="19" s="1"/>
  <c r="C1059" i="19" s="1"/>
  <c r="I1741" i="19"/>
  <c r="I1726" i="19"/>
  <c r="I1736" i="19"/>
  <c r="I1747" i="19"/>
  <c r="I1380" i="19"/>
  <c r="C1380" i="19" s="1"/>
  <c r="H1573" i="19"/>
  <c r="I1429" i="19"/>
  <c r="C1429" i="19" s="1"/>
  <c r="C82" i="19" l="1"/>
  <c r="H150" i="19"/>
  <c r="C150" i="19" s="1"/>
  <c r="H1396" i="19"/>
  <c r="H1445" i="19"/>
  <c r="I1445" i="19" s="1"/>
  <c r="C1445" i="19" s="1"/>
  <c r="G1404" i="19"/>
  <c r="H1449" i="19"/>
  <c r="I1449" i="19" s="1"/>
  <c r="C1449" i="19" s="1"/>
  <c r="H1398" i="19"/>
  <c r="H84" i="19"/>
  <c r="C83" i="19"/>
  <c r="I1397" i="19"/>
  <c r="C1397" i="19" s="1"/>
  <c r="I1573" i="19"/>
  <c r="C1573" i="19" s="1"/>
  <c r="I1395" i="19"/>
  <c r="C1395" i="19" s="1"/>
  <c r="C258" i="19"/>
  <c r="I205" i="19"/>
  <c r="C205" i="19" s="1"/>
  <c r="H1228" i="19"/>
  <c r="I1228" i="19" s="1"/>
  <c r="C1228" i="19" s="1"/>
  <c r="I1398" i="19" l="1"/>
  <c r="C1398" i="19" s="1"/>
  <c r="C1404" i="19"/>
  <c r="H85" i="19"/>
  <c r="C84" i="19"/>
  <c r="I1396" i="19"/>
  <c r="C1396" i="19" s="1"/>
  <c r="H86" i="19" l="1"/>
  <c r="C85" i="19"/>
  <c r="C86" i="19" l="1"/>
  <c r="H87" i="19"/>
  <c r="H88" i="19" l="1"/>
  <c r="C87" i="19"/>
  <c r="H89" i="19" l="1"/>
  <c r="C89" i="19" s="1"/>
  <c r="C88" i="19"/>
  <c r="B109" i="2" l="1"/>
  <c r="B110" i="2"/>
  <c r="B111" i="2"/>
  <c r="B112" i="2"/>
  <c r="B113" i="2"/>
  <c r="B114" i="2"/>
  <c r="B115" i="2"/>
  <c r="B116" i="2"/>
  <c r="B117" i="2"/>
  <c r="B108" i="2"/>
  <c r="I104" i="2"/>
  <c r="H104" i="2"/>
  <c r="I103" i="2"/>
  <c r="H102" i="2"/>
  <c r="H101" i="2"/>
  <c r="H93" i="2"/>
  <c r="I89" i="2"/>
  <c r="H88" i="2"/>
  <c r="I87" i="2"/>
  <c r="I81" i="2"/>
  <c r="H75" i="2"/>
  <c r="H63" i="2"/>
  <c r="I50" i="2"/>
  <c r="H44" i="2"/>
  <c r="I43" i="2"/>
  <c r="H43" i="2"/>
  <c r="H41" i="2"/>
  <c r="I35" i="2"/>
  <c r="H34" i="2"/>
  <c r="I32" i="2"/>
  <c r="I92" i="2" l="1"/>
  <c r="H61" i="2"/>
  <c r="I76" i="2"/>
  <c r="H91" i="2"/>
  <c r="I31" i="2"/>
  <c r="I48" i="2"/>
  <c r="I74" i="2"/>
  <c r="H69" i="2"/>
  <c r="H81" i="2"/>
  <c r="H87" i="2"/>
  <c r="H99" i="2"/>
  <c r="I51" i="2"/>
  <c r="H51" i="2"/>
  <c r="H52" i="2"/>
  <c r="I70" i="2"/>
  <c r="I82" i="2"/>
  <c r="H56" i="2"/>
  <c r="I49" i="2"/>
  <c r="H35" i="2"/>
  <c r="H50" i="2"/>
  <c r="I84" i="2"/>
  <c r="I41" i="2"/>
  <c r="I69" i="2"/>
  <c r="I86" i="2"/>
  <c r="I91" i="2"/>
  <c r="I101" i="2"/>
  <c r="H31" i="2"/>
  <c r="I102" i="2"/>
  <c r="H32" i="2"/>
  <c r="H48" i="2"/>
  <c r="I61" i="2"/>
  <c r="H39" i="2"/>
  <c r="I39" i="2"/>
  <c r="I88" i="2"/>
  <c r="I99" i="2"/>
  <c r="H103" i="2"/>
  <c r="H33" i="2"/>
  <c r="H76" i="2"/>
  <c r="I90" i="2"/>
  <c r="I75" i="2"/>
  <c r="I80" i="2"/>
  <c r="H80" i="2"/>
  <c r="I55" i="2"/>
  <c r="H55" i="2"/>
  <c r="H59" i="2"/>
  <c r="I34" i="2"/>
  <c r="I44" i="2"/>
  <c r="H57" i="2"/>
  <c r="I63" i="2"/>
  <c r="H89" i="2"/>
  <c r="I93" i="2"/>
  <c r="I57" i="2"/>
  <c r="H46" i="2"/>
  <c r="H49" i="2"/>
  <c r="H58" i="2"/>
  <c r="H60" i="2"/>
  <c r="H62" i="2"/>
  <c r="H83" i="2"/>
  <c r="H85" i="2"/>
  <c r="H90" i="2"/>
  <c r="H92" i="2"/>
  <c r="H71" i="2"/>
  <c r="H73" i="2"/>
  <c r="H86" i="2" l="1"/>
  <c r="I56" i="2"/>
  <c r="I52" i="2"/>
  <c r="H70" i="2"/>
  <c r="H82" i="2"/>
  <c r="H74" i="2"/>
  <c r="H84" i="2"/>
  <c r="I46" i="2"/>
  <c r="I71" i="2"/>
  <c r="I40" i="2"/>
  <c r="H40" i="2"/>
  <c r="H77" i="2"/>
  <c r="I77" i="2"/>
  <c r="I100" i="2"/>
  <c r="H100" i="2"/>
  <c r="H54" i="2"/>
  <c r="I54" i="2"/>
  <c r="H79" i="2"/>
  <c r="I79" i="2"/>
  <c r="I72" i="2"/>
  <c r="H72" i="2"/>
  <c r="I83" i="2"/>
  <c r="I42" i="2"/>
  <c r="H42" i="2"/>
  <c r="I78" i="2"/>
  <c r="H78" i="2"/>
  <c r="I62" i="2"/>
  <c r="I59" i="2"/>
  <c r="I58" i="2"/>
  <c r="I45" i="2"/>
  <c r="H45" i="2"/>
  <c r="I53" i="2"/>
  <c r="H53" i="2"/>
  <c r="I73" i="2"/>
  <c r="I47" i="2"/>
  <c r="H47" i="2"/>
  <c r="I60" i="2"/>
  <c r="I85" i="2"/>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AG1" i="10"/>
  <c r="AH1" i="10"/>
  <c r="AI1" i="10"/>
  <c r="AJ1" i="10"/>
  <c r="AK1" i="10"/>
  <c r="AL1" i="10"/>
  <c r="AM1" i="10"/>
  <c r="AN1" i="10"/>
  <c r="AO1" i="10"/>
  <c r="AP1" i="10"/>
  <c r="AQ1" i="10"/>
  <c r="AR1" i="10"/>
  <c r="AS1" i="10"/>
  <c r="AT1" i="10"/>
  <c r="AU1" i="10"/>
  <c r="AV1" i="10"/>
  <c r="AW1" i="10"/>
  <c r="AX1" i="10"/>
  <c r="AY1" i="10"/>
  <c r="C1" i="10"/>
  <c r="C108" i="2"/>
  <c r="C109" i="2"/>
  <c r="C110" i="2"/>
  <c r="C111" i="2"/>
  <c r="C112" i="2"/>
  <c r="C113" i="2"/>
  <c r="C114" i="2"/>
  <c r="C115" i="2"/>
  <c r="C116" i="2"/>
  <c r="C117" i="2"/>
  <c r="B8" i="2"/>
  <c r="A136" i="9"/>
  <c r="A134" i="9"/>
  <c r="A133" i="9"/>
  <c r="I132" i="9"/>
  <c r="H132" i="9"/>
  <c r="G132" i="9"/>
  <c r="F132" i="9"/>
  <c r="E132" i="9"/>
  <c r="D132" i="9"/>
  <c r="L132" i="9" s="1"/>
  <c r="C132" i="9"/>
  <c r="A132" i="9"/>
  <c r="L131" i="9"/>
  <c r="I131" i="9"/>
  <c r="H131" i="9"/>
  <c r="J131" i="9" s="1"/>
  <c r="G131" i="9"/>
  <c r="F131" i="9"/>
  <c r="E131" i="9"/>
  <c r="D131" i="9"/>
  <c r="C131" i="9"/>
  <c r="A131" i="9"/>
  <c r="I130" i="9"/>
  <c r="H130" i="9"/>
  <c r="J130" i="9" s="1"/>
  <c r="G130" i="9"/>
  <c r="F130" i="9"/>
  <c r="E130" i="9"/>
  <c r="D130" i="9"/>
  <c r="L130" i="9" s="1"/>
  <c r="C130" i="9"/>
  <c r="A130" i="9"/>
  <c r="I129" i="9"/>
  <c r="H129" i="9"/>
  <c r="G129" i="9"/>
  <c r="F129" i="9"/>
  <c r="E129" i="9"/>
  <c r="D129" i="9"/>
  <c r="L129" i="9" s="1"/>
  <c r="C129" i="9"/>
  <c r="A129" i="9"/>
  <c r="I128" i="9"/>
  <c r="H128" i="9"/>
  <c r="J128" i="9" s="1"/>
  <c r="G128" i="9"/>
  <c r="F128" i="9"/>
  <c r="E128" i="9"/>
  <c r="D128" i="9"/>
  <c r="L128" i="9" s="1"/>
  <c r="C128" i="9"/>
  <c r="A128" i="9"/>
  <c r="L127" i="9"/>
  <c r="J127" i="9"/>
  <c r="I127" i="9"/>
  <c r="H127" i="9"/>
  <c r="G127" i="9"/>
  <c r="F127" i="9"/>
  <c r="E127" i="9"/>
  <c r="D127" i="9"/>
  <c r="C127" i="9"/>
  <c r="A127" i="9"/>
  <c r="I126" i="9"/>
  <c r="H126" i="9"/>
  <c r="J126" i="9" s="1"/>
  <c r="G126" i="9"/>
  <c r="F126" i="9"/>
  <c r="E126" i="9"/>
  <c r="D126" i="9"/>
  <c r="L126" i="9" s="1"/>
  <c r="C126" i="9"/>
  <c r="A126" i="9"/>
  <c r="I125" i="9"/>
  <c r="H125" i="9"/>
  <c r="G125" i="9"/>
  <c r="F125" i="9"/>
  <c r="E125" i="9"/>
  <c r="D125" i="9"/>
  <c r="L125" i="9" s="1"/>
  <c r="C125" i="9"/>
  <c r="A125" i="9"/>
  <c r="I124" i="9"/>
  <c r="H124" i="9"/>
  <c r="J124" i="9" s="1"/>
  <c r="G124" i="9"/>
  <c r="F124" i="9"/>
  <c r="E124" i="9"/>
  <c r="D124" i="9"/>
  <c r="L124" i="9" s="1"/>
  <c r="C124" i="9"/>
  <c r="A124" i="9"/>
  <c r="J123" i="9"/>
  <c r="I123" i="9"/>
  <c r="H123" i="9"/>
  <c r="G123" i="9"/>
  <c r="F123" i="9"/>
  <c r="E123" i="9"/>
  <c r="D123" i="9"/>
  <c r="L123" i="9" s="1"/>
  <c r="C123" i="9"/>
  <c r="A123" i="9"/>
  <c r="I122" i="9"/>
  <c r="H122" i="9"/>
  <c r="G122" i="9"/>
  <c r="F122" i="9"/>
  <c r="E122" i="9"/>
  <c r="D122" i="9"/>
  <c r="L122" i="9" s="1"/>
  <c r="C122" i="9"/>
  <c r="A122" i="9"/>
  <c r="I121" i="9"/>
  <c r="H121" i="9"/>
  <c r="J121" i="9" s="1"/>
  <c r="G121" i="9"/>
  <c r="F121" i="9"/>
  <c r="E121" i="9"/>
  <c r="D121" i="9"/>
  <c r="L121" i="9" s="1"/>
  <c r="C121" i="9"/>
  <c r="A121" i="9"/>
  <c r="I120" i="9"/>
  <c r="H120" i="9"/>
  <c r="J120" i="9" s="1"/>
  <c r="G120" i="9"/>
  <c r="F120" i="9"/>
  <c r="E120" i="9"/>
  <c r="D120" i="9"/>
  <c r="L120" i="9" s="1"/>
  <c r="C120" i="9"/>
  <c r="A120" i="9"/>
  <c r="L119" i="9"/>
  <c r="J119" i="9"/>
  <c r="I119" i="9"/>
  <c r="H119" i="9"/>
  <c r="G119" i="9"/>
  <c r="F119" i="9"/>
  <c r="E119" i="9"/>
  <c r="D119" i="9"/>
  <c r="C119" i="9"/>
  <c r="A119" i="9"/>
  <c r="I118" i="9"/>
  <c r="H118" i="9"/>
  <c r="J118" i="9" s="1"/>
  <c r="G118" i="9"/>
  <c r="F118" i="9"/>
  <c r="E118" i="9"/>
  <c r="D118" i="9"/>
  <c r="L118" i="9" s="1"/>
  <c r="C118" i="9"/>
  <c r="A118" i="9"/>
  <c r="I117" i="9"/>
  <c r="H117" i="9"/>
  <c r="G117" i="9"/>
  <c r="F117" i="9"/>
  <c r="E117" i="9"/>
  <c r="D117" i="9"/>
  <c r="L117" i="9" s="1"/>
  <c r="C117" i="9"/>
  <c r="A117" i="9"/>
  <c r="I116" i="9"/>
  <c r="H116" i="9"/>
  <c r="J116" i="9" s="1"/>
  <c r="G116" i="9"/>
  <c r="F116" i="9"/>
  <c r="E116" i="9"/>
  <c r="D116" i="9"/>
  <c r="L116" i="9" s="1"/>
  <c r="C116" i="9"/>
  <c r="A116" i="9"/>
  <c r="J115" i="9"/>
  <c r="I115" i="9"/>
  <c r="H115" i="9"/>
  <c r="G115" i="9"/>
  <c r="F115" i="9"/>
  <c r="E115" i="9"/>
  <c r="D115" i="9"/>
  <c r="L115" i="9" s="1"/>
  <c r="C115" i="9"/>
  <c r="A115" i="9"/>
  <c r="I114" i="9"/>
  <c r="H114" i="9"/>
  <c r="G114" i="9"/>
  <c r="F114" i="9"/>
  <c r="E114" i="9"/>
  <c r="D114" i="9"/>
  <c r="L114" i="9" s="1"/>
  <c r="C114" i="9"/>
  <c r="A114" i="9"/>
  <c r="L113" i="9"/>
  <c r="I113" i="9"/>
  <c r="H113" i="9"/>
  <c r="J113" i="9" s="1"/>
  <c r="G113" i="9"/>
  <c r="F113" i="9"/>
  <c r="E113" i="9"/>
  <c r="D113" i="9"/>
  <c r="C113" i="9"/>
  <c r="A113" i="9"/>
  <c r="I112" i="9"/>
  <c r="H112" i="9"/>
  <c r="J112" i="9" s="1"/>
  <c r="G112" i="9"/>
  <c r="F112" i="9"/>
  <c r="E112" i="9"/>
  <c r="D112" i="9"/>
  <c r="L112" i="9" s="1"/>
  <c r="C112" i="9"/>
  <c r="A112" i="9"/>
  <c r="L111" i="9"/>
  <c r="J111" i="9"/>
  <c r="I111" i="9"/>
  <c r="H111" i="9"/>
  <c r="G111" i="9"/>
  <c r="F111" i="9"/>
  <c r="E111" i="9"/>
  <c r="D111" i="9"/>
  <c r="C111" i="9"/>
  <c r="A111" i="9"/>
  <c r="I110" i="9"/>
  <c r="H110" i="9"/>
  <c r="J110" i="9" s="1"/>
  <c r="G110" i="9"/>
  <c r="F110" i="9"/>
  <c r="E110" i="9"/>
  <c r="D110" i="9"/>
  <c r="L110" i="9" s="1"/>
  <c r="C110" i="9"/>
  <c r="A110" i="9"/>
  <c r="I109" i="9"/>
  <c r="H109" i="9"/>
  <c r="G109" i="9"/>
  <c r="F109" i="9"/>
  <c r="E109" i="9"/>
  <c r="D109" i="9"/>
  <c r="L109" i="9" s="1"/>
  <c r="C109" i="9"/>
  <c r="A109" i="9"/>
  <c r="I108" i="9"/>
  <c r="H108" i="9"/>
  <c r="J108" i="9" s="1"/>
  <c r="G108" i="9"/>
  <c r="F108" i="9"/>
  <c r="E108" i="9"/>
  <c r="D108" i="9"/>
  <c r="L108" i="9" s="1"/>
  <c r="C108" i="9"/>
  <c r="A108" i="9"/>
  <c r="J107" i="9"/>
  <c r="I107" i="9"/>
  <c r="H107" i="9"/>
  <c r="G107" i="9"/>
  <c r="F107" i="9"/>
  <c r="E107" i="9"/>
  <c r="D107" i="9"/>
  <c r="L107" i="9" s="1"/>
  <c r="C107" i="9"/>
  <c r="A107" i="9"/>
  <c r="I106" i="9"/>
  <c r="H106" i="9"/>
  <c r="G106" i="9"/>
  <c r="F106" i="9"/>
  <c r="E106" i="9"/>
  <c r="D106" i="9"/>
  <c r="L106" i="9" s="1"/>
  <c r="C106" i="9"/>
  <c r="A106" i="9"/>
  <c r="L105" i="9"/>
  <c r="I105" i="9"/>
  <c r="H105" i="9"/>
  <c r="J105" i="9" s="1"/>
  <c r="G105" i="9"/>
  <c r="F105" i="9"/>
  <c r="E105" i="9"/>
  <c r="D105" i="9"/>
  <c r="C105" i="9"/>
  <c r="A105" i="9"/>
  <c r="I104" i="9"/>
  <c r="H104" i="9"/>
  <c r="J104" i="9" s="1"/>
  <c r="G104" i="9"/>
  <c r="F104" i="9"/>
  <c r="E104" i="9"/>
  <c r="D104" i="9"/>
  <c r="L104" i="9" s="1"/>
  <c r="C104" i="9"/>
  <c r="A104" i="9"/>
  <c r="L103" i="9"/>
  <c r="J103" i="9"/>
  <c r="I103" i="9"/>
  <c r="H103" i="9"/>
  <c r="G103" i="9"/>
  <c r="F103" i="9"/>
  <c r="E103" i="9"/>
  <c r="D103" i="9"/>
  <c r="C103" i="9"/>
  <c r="A103" i="9"/>
  <c r="I102" i="9"/>
  <c r="H102" i="9"/>
  <c r="J102" i="9" s="1"/>
  <c r="G102" i="9"/>
  <c r="F102" i="9"/>
  <c r="E102" i="9"/>
  <c r="D102" i="9"/>
  <c r="L102" i="9" s="1"/>
  <c r="C102" i="9"/>
  <c r="A102" i="9"/>
  <c r="I101" i="9"/>
  <c r="H101" i="9"/>
  <c r="G101" i="9"/>
  <c r="F101" i="9"/>
  <c r="E101" i="9"/>
  <c r="D101" i="9"/>
  <c r="L101" i="9" s="1"/>
  <c r="C101" i="9"/>
  <c r="A101" i="9"/>
  <c r="I100" i="9"/>
  <c r="H100" i="9"/>
  <c r="J100" i="9" s="1"/>
  <c r="G100" i="9"/>
  <c r="F100" i="9"/>
  <c r="E100" i="9"/>
  <c r="D100" i="9"/>
  <c r="L100" i="9" s="1"/>
  <c r="C100" i="9"/>
  <c r="A100" i="9"/>
  <c r="J99" i="9"/>
  <c r="I99" i="9"/>
  <c r="H99" i="9"/>
  <c r="G99" i="9"/>
  <c r="F99" i="9"/>
  <c r="E99" i="9"/>
  <c r="D99" i="9"/>
  <c r="L99" i="9" s="1"/>
  <c r="C99" i="9"/>
  <c r="A99" i="9"/>
  <c r="I98" i="9"/>
  <c r="H98" i="9"/>
  <c r="G98" i="9"/>
  <c r="F98" i="9"/>
  <c r="E98" i="9"/>
  <c r="D98" i="9"/>
  <c r="L98" i="9" s="1"/>
  <c r="C98" i="9"/>
  <c r="A98" i="9"/>
  <c r="L97" i="9"/>
  <c r="I97" i="9"/>
  <c r="H97" i="9"/>
  <c r="J97" i="9" s="1"/>
  <c r="G97" i="9"/>
  <c r="F97" i="9"/>
  <c r="E97" i="9"/>
  <c r="D97" i="9"/>
  <c r="C97" i="9"/>
  <c r="A97" i="9"/>
  <c r="I96" i="9"/>
  <c r="H96" i="9"/>
  <c r="J96" i="9" s="1"/>
  <c r="G96" i="9"/>
  <c r="F96" i="9"/>
  <c r="E96" i="9"/>
  <c r="D96" i="9"/>
  <c r="L96" i="9" s="1"/>
  <c r="C96" i="9"/>
  <c r="A96" i="9"/>
  <c r="L95" i="9"/>
  <c r="J95" i="9"/>
  <c r="I95" i="9"/>
  <c r="H95" i="9"/>
  <c r="G95" i="9"/>
  <c r="F95" i="9"/>
  <c r="E95" i="9"/>
  <c r="D95" i="9"/>
  <c r="C95" i="9"/>
  <c r="A95" i="9"/>
  <c r="I94" i="9"/>
  <c r="H94" i="9"/>
  <c r="J94" i="9" s="1"/>
  <c r="G94" i="9"/>
  <c r="F94" i="9"/>
  <c r="E94" i="9"/>
  <c r="D94" i="9"/>
  <c r="L94" i="9" s="1"/>
  <c r="C94" i="9"/>
  <c r="A94" i="9"/>
  <c r="I93" i="9"/>
  <c r="H93" i="9"/>
  <c r="G93" i="9"/>
  <c r="F93" i="9"/>
  <c r="E93" i="9"/>
  <c r="D93" i="9"/>
  <c r="L93" i="9" s="1"/>
  <c r="C93" i="9"/>
  <c r="A93" i="9"/>
  <c r="I92" i="9"/>
  <c r="H92" i="9"/>
  <c r="J92" i="9" s="1"/>
  <c r="G92" i="9"/>
  <c r="F92" i="9"/>
  <c r="E92" i="9"/>
  <c r="D92" i="9"/>
  <c r="L92" i="9" s="1"/>
  <c r="C92" i="9"/>
  <c r="A92" i="9"/>
  <c r="J91" i="9"/>
  <c r="I91" i="9"/>
  <c r="H91" i="9"/>
  <c r="G91" i="9"/>
  <c r="F91" i="9"/>
  <c r="E91" i="9"/>
  <c r="D91" i="9"/>
  <c r="L91" i="9" s="1"/>
  <c r="C91" i="9"/>
  <c r="A91" i="9"/>
  <c r="I90" i="9"/>
  <c r="H90" i="9"/>
  <c r="G90" i="9"/>
  <c r="F90" i="9"/>
  <c r="E90" i="9"/>
  <c r="D90" i="9"/>
  <c r="L90" i="9" s="1"/>
  <c r="C90" i="9"/>
  <c r="A90" i="9"/>
  <c r="L89" i="9"/>
  <c r="I89" i="9"/>
  <c r="H89" i="9"/>
  <c r="J89" i="9" s="1"/>
  <c r="G89" i="9"/>
  <c r="F89" i="9"/>
  <c r="E89" i="9"/>
  <c r="D89" i="9"/>
  <c r="C89" i="9"/>
  <c r="A89" i="9"/>
  <c r="I88" i="9"/>
  <c r="H88" i="9"/>
  <c r="J88" i="9" s="1"/>
  <c r="G88" i="9"/>
  <c r="F88" i="9"/>
  <c r="E88" i="9"/>
  <c r="D88" i="9"/>
  <c r="L88" i="9" s="1"/>
  <c r="C88" i="9"/>
  <c r="A88" i="9"/>
  <c r="L87" i="9"/>
  <c r="J87" i="9"/>
  <c r="I87" i="9"/>
  <c r="H87" i="9"/>
  <c r="G87" i="9"/>
  <c r="F87" i="9"/>
  <c r="E87" i="9"/>
  <c r="D87" i="9"/>
  <c r="C87" i="9"/>
  <c r="A87" i="9"/>
  <c r="I86" i="9"/>
  <c r="H86" i="9"/>
  <c r="J86" i="9" s="1"/>
  <c r="G86" i="9"/>
  <c r="F86" i="9"/>
  <c r="E86" i="9"/>
  <c r="D86" i="9"/>
  <c r="L86" i="9" s="1"/>
  <c r="C86" i="9"/>
  <c r="A86" i="9"/>
  <c r="I85" i="9"/>
  <c r="H85" i="9"/>
  <c r="G85" i="9"/>
  <c r="F85" i="9"/>
  <c r="E85" i="9"/>
  <c r="D85" i="9"/>
  <c r="L85" i="9" s="1"/>
  <c r="C85" i="9"/>
  <c r="A85" i="9"/>
  <c r="I84" i="9"/>
  <c r="H84" i="9"/>
  <c r="J84" i="9" s="1"/>
  <c r="G84" i="9"/>
  <c r="F84" i="9"/>
  <c r="E84" i="9"/>
  <c r="D84" i="9"/>
  <c r="L84" i="9" s="1"/>
  <c r="C84" i="9"/>
  <c r="A84" i="9"/>
  <c r="J83" i="9"/>
  <c r="I83" i="9"/>
  <c r="H83" i="9"/>
  <c r="G83" i="9"/>
  <c r="F83" i="9"/>
  <c r="E83" i="9"/>
  <c r="D83" i="9"/>
  <c r="L83" i="9" s="1"/>
  <c r="C83" i="9"/>
  <c r="A83" i="9"/>
  <c r="I82" i="9"/>
  <c r="H82" i="9"/>
  <c r="G82" i="9"/>
  <c r="F82" i="9"/>
  <c r="E82" i="9"/>
  <c r="D82" i="9"/>
  <c r="L82" i="9" s="1"/>
  <c r="C82" i="9"/>
  <c r="A82" i="9"/>
  <c r="L81" i="9"/>
  <c r="I81" i="9"/>
  <c r="H81" i="9"/>
  <c r="J81" i="9" s="1"/>
  <c r="G81" i="9"/>
  <c r="F81" i="9"/>
  <c r="E81" i="9"/>
  <c r="D81" i="9"/>
  <c r="C81" i="9"/>
  <c r="A81" i="9"/>
  <c r="I80" i="9"/>
  <c r="H80" i="9"/>
  <c r="J80" i="9" s="1"/>
  <c r="G80" i="9"/>
  <c r="F80" i="9"/>
  <c r="E80" i="9"/>
  <c r="D80" i="9"/>
  <c r="L80" i="9" s="1"/>
  <c r="C80" i="9"/>
  <c r="A80" i="9"/>
  <c r="L79" i="9"/>
  <c r="J79" i="9"/>
  <c r="I79" i="9"/>
  <c r="H79" i="9"/>
  <c r="G79" i="9"/>
  <c r="F79" i="9"/>
  <c r="E79" i="9"/>
  <c r="D79" i="9"/>
  <c r="C79" i="9"/>
  <c r="A79" i="9"/>
  <c r="I78" i="9"/>
  <c r="H78" i="9"/>
  <c r="J78" i="9" s="1"/>
  <c r="G78" i="9"/>
  <c r="F78" i="9"/>
  <c r="E78" i="9"/>
  <c r="D78" i="9"/>
  <c r="L78" i="9" s="1"/>
  <c r="C78" i="9"/>
  <c r="A78" i="9"/>
  <c r="I77" i="9"/>
  <c r="H77" i="9"/>
  <c r="G77" i="9"/>
  <c r="F77" i="9"/>
  <c r="E77" i="9"/>
  <c r="D77" i="9"/>
  <c r="L77" i="9" s="1"/>
  <c r="C77" i="9"/>
  <c r="A77" i="9"/>
  <c r="I76" i="9"/>
  <c r="H76" i="9"/>
  <c r="J76" i="9" s="1"/>
  <c r="G76" i="9"/>
  <c r="F76" i="9"/>
  <c r="E76" i="9"/>
  <c r="D76" i="9"/>
  <c r="L76" i="9" s="1"/>
  <c r="C76" i="9"/>
  <c r="A76" i="9"/>
  <c r="J75" i="9"/>
  <c r="I75" i="9"/>
  <c r="H75" i="9"/>
  <c r="G75" i="9"/>
  <c r="F75" i="9"/>
  <c r="E75" i="9"/>
  <c r="D75" i="9"/>
  <c r="L75" i="9" s="1"/>
  <c r="C75" i="9"/>
  <c r="A75" i="9"/>
  <c r="I74" i="9"/>
  <c r="H74" i="9"/>
  <c r="G74" i="9"/>
  <c r="F74" i="9"/>
  <c r="E74" i="9"/>
  <c r="D74" i="9"/>
  <c r="L74" i="9" s="1"/>
  <c r="C74" i="9"/>
  <c r="A74" i="9"/>
  <c r="L73" i="9"/>
  <c r="I73" i="9"/>
  <c r="H73" i="9"/>
  <c r="J73" i="9" s="1"/>
  <c r="G73" i="9"/>
  <c r="F73" i="9"/>
  <c r="E73" i="9"/>
  <c r="D73" i="9"/>
  <c r="C73" i="9"/>
  <c r="A73" i="9"/>
  <c r="I72" i="9"/>
  <c r="H72" i="9"/>
  <c r="J72" i="9" s="1"/>
  <c r="G72" i="9"/>
  <c r="F72" i="9"/>
  <c r="E72" i="9"/>
  <c r="D72" i="9"/>
  <c r="L72" i="9" s="1"/>
  <c r="C72" i="9"/>
  <c r="A72" i="9"/>
  <c r="L71" i="9"/>
  <c r="J71" i="9"/>
  <c r="I71" i="9"/>
  <c r="H71" i="9"/>
  <c r="G71" i="9"/>
  <c r="F71" i="9"/>
  <c r="E71" i="9"/>
  <c r="D71" i="9"/>
  <c r="C71" i="9"/>
  <c r="A71" i="9"/>
  <c r="I70" i="9"/>
  <c r="H70" i="9"/>
  <c r="J70" i="9" s="1"/>
  <c r="G70" i="9"/>
  <c r="F70" i="9"/>
  <c r="E70" i="9"/>
  <c r="D70" i="9"/>
  <c r="L70" i="9" s="1"/>
  <c r="C70" i="9"/>
  <c r="A70" i="9"/>
  <c r="I69" i="9"/>
  <c r="H69" i="9"/>
  <c r="G69" i="9"/>
  <c r="F69" i="9"/>
  <c r="E69" i="9"/>
  <c r="D69" i="9"/>
  <c r="L69" i="9" s="1"/>
  <c r="C69" i="9"/>
  <c r="A69" i="9"/>
  <c r="I68" i="9"/>
  <c r="H68" i="9"/>
  <c r="J68" i="9" s="1"/>
  <c r="G68" i="9"/>
  <c r="F68" i="9"/>
  <c r="E68" i="9"/>
  <c r="D68" i="9"/>
  <c r="L68" i="9" s="1"/>
  <c r="C68" i="9"/>
  <c r="A68" i="9"/>
  <c r="J67" i="9"/>
  <c r="I67" i="9"/>
  <c r="H67" i="9"/>
  <c r="G67" i="9"/>
  <c r="F67" i="9"/>
  <c r="E67" i="9"/>
  <c r="D67" i="9"/>
  <c r="L67" i="9" s="1"/>
  <c r="C67" i="9"/>
  <c r="A67" i="9"/>
  <c r="I66" i="9"/>
  <c r="H66" i="9"/>
  <c r="G66" i="9"/>
  <c r="F66" i="9"/>
  <c r="E66" i="9"/>
  <c r="D66" i="9"/>
  <c r="L66" i="9" s="1"/>
  <c r="C66" i="9"/>
  <c r="A66" i="9"/>
  <c r="L65" i="9"/>
  <c r="I65" i="9"/>
  <c r="H65" i="9"/>
  <c r="J65" i="9" s="1"/>
  <c r="G65" i="9"/>
  <c r="F65" i="9"/>
  <c r="E65" i="9"/>
  <c r="D65" i="9"/>
  <c r="C65" i="9"/>
  <c r="A65" i="9"/>
  <c r="I64" i="9"/>
  <c r="H64" i="9"/>
  <c r="J64" i="9" s="1"/>
  <c r="G64" i="9"/>
  <c r="F64" i="9"/>
  <c r="E64" i="9"/>
  <c r="D64" i="9"/>
  <c r="L64" i="9" s="1"/>
  <c r="C64" i="9"/>
  <c r="A64" i="9"/>
  <c r="L63" i="9"/>
  <c r="J63" i="9"/>
  <c r="I63" i="9"/>
  <c r="H63" i="9"/>
  <c r="G63" i="9"/>
  <c r="F63" i="9"/>
  <c r="E63" i="9"/>
  <c r="D63" i="9"/>
  <c r="C63" i="9"/>
  <c r="A63" i="9"/>
  <c r="I62" i="9"/>
  <c r="H62" i="9"/>
  <c r="J62" i="9" s="1"/>
  <c r="G62" i="9"/>
  <c r="F62" i="9"/>
  <c r="E62" i="9"/>
  <c r="D62" i="9"/>
  <c r="L62" i="9" s="1"/>
  <c r="C62" i="9"/>
  <c r="A62" i="9"/>
  <c r="I61" i="9"/>
  <c r="H61" i="9"/>
  <c r="G61" i="9"/>
  <c r="F61" i="9"/>
  <c r="E61" i="9"/>
  <c r="D61" i="9"/>
  <c r="L61" i="9" s="1"/>
  <c r="C61" i="9"/>
  <c r="A61" i="9"/>
  <c r="I60" i="9"/>
  <c r="H60" i="9"/>
  <c r="J60" i="9" s="1"/>
  <c r="G60" i="9"/>
  <c r="F60" i="9"/>
  <c r="E60" i="9"/>
  <c r="D60" i="9"/>
  <c r="L60" i="9" s="1"/>
  <c r="C60" i="9"/>
  <c r="A60" i="9"/>
  <c r="J59" i="9"/>
  <c r="I59" i="9"/>
  <c r="H59" i="9"/>
  <c r="G59" i="9"/>
  <c r="F59" i="9"/>
  <c r="E59" i="9"/>
  <c r="D59" i="9"/>
  <c r="L59" i="9" s="1"/>
  <c r="C59" i="9"/>
  <c r="A59" i="9"/>
  <c r="I58" i="9"/>
  <c r="H58" i="9"/>
  <c r="G58" i="9"/>
  <c r="F58" i="9"/>
  <c r="E58" i="9"/>
  <c r="D58" i="9"/>
  <c r="L58" i="9" s="1"/>
  <c r="C58" i="9"/>
  <c r="A58" i="9"/>
  <c r="L57" i="9"/>
  <c r="I57" i="9"/>
  <c r="H57" i="9"/>
  <c r="J57" i="9" s="1"/>
  <c r="G57" i="9"/>
  <c r="F57" i="9"/>
  <c r="E57" i="9"/>
  <c r="D57" i="9"/>
  <c r="C57" i="9"/>
  <c r="A57" i="9"/>
  <c r="I56" i="9"/>
  <c r="H56" i="9"/>
  <c r="J56" i="9" s="1"/>
  <c r="G56" i="9"/>
  <c r="F56" i="9"/>
  <c r="E56" i="9"/>
  <c r="D56" i="9"/>
  <c r="L56" i="9" s="1"/>
  <c r="C56" i="9"/>
  <c r="A56" i="9"/>
  <c r="L55" i="9"/>
  <c r="J55" i="9"/>
  <c r="I55" i="9"/>
  <c r="H55" i="9"/>
  <c r="G55" i="9"/>
  <c r="F55" i="9"/>
  <c r="E55" i="9"/>
  <c r="D55" i="9"/>
  <c r="C55" i="9"/>
  <c r="A55" i="9"/>
  <c r="I54" i="9"/>
  <c r="H54" i="9"/>
  <c r="J54" i="9" s="1"/>
  <c r="G54" i="9"/>
  <c r="F54" i="9"/>
  <c r="E54" i="9"/>
  <c r="D54" i="9"/>
  <c r="L54" i="9" s="1"/>
  <c r="C54" i="9"/>
  <c r="A54" i="9"/>
  <c r="I53" i="9"/>
  <c r="H53" i="9"/>
  <c r="G53" i="9"/>
  <c r="F53" i="9"/>
  <c r="E53" i="9"/>
  <c r="D53" i="9"/>
  <c r="L53" i="9" s="1"/>
  <c r="C53" i="9"/>
  <c r="A53" i="9"/>
  <c r="I52" i="9"/>
  <c r="H52" i="9"/>
  <c r="J52" i="9" s="1"/>
  <c r="G52" i="9"/>
  <c r="F52" i="9"/>
  <c r="E52" i="9"/>
  <c r="D52" i="9"/>
  <c r="L52" i="9" s="1"/>
  <c r="C52" i="9"/>
  <c r="A52" i="9"/>
  <c r="J51" i="9"/>
  <c r="I51" i="9"/>
  <c r="H51" i="9"/>
  <c r="G51" i="9"/>
  <c r="F51" i="9"/>
  <c r="E51" i="9"/>
  <c r="D51" i="9"/>
  <c r="L51" i="9" s="1"/>
  <c r="C51" i="9"/>
  <c r="A51" i="9"/>
  <c r="I50" i="9"/>
  <c r="H50" i="9"/>
  <c r="J50" i="9" s="1"/>
  <c r="G50" i="9"/>
  <c r="F50" i="9"/>
  <c r="E50" i="9"/>
  <c r="D50" i="9"/>
  <c r="L50" i="9" s="1"/>
  <c r="C50" i="9"/>
  <c r="A50" i="9"/>
  <c r="L49" i="9"/>
  <c r="I49" i="9"/>
  <c r="H49" i="9"/>
  <c r="J49" i="9" s="1"/>
  <c r="G49" i="9"/>
  <c r="F49" i="9"/>
  <c r="E49" i="9"/>
  <c r="D49" i="9"/>
  <c r="C49" i="9"/>
  <c r="A49" i="9"/>
  <c r="I48" i="9"/>
  <c r="H48" i="9"/>
  <c r="J48" i="9" s="1"/>
  <c r="G48" i="9"/>
  <c r="F48" i="9"/>
  <c r="E48" i="9"/>
  <c r="D48" i="9"/>
  <c r="L48" i="9" s="1"/>
  <c r="C48" i="9"/>
  <c r="A48" i="9"/>
  <c r="L47" i="9"/>
  <c r="J47" i="9"/>
  <c r="I47" i="9"/>
  <c r="H47" i="9"/>
  <c r="G47" i="9"/>
  <c r="F47" i="9"/>
  <c r="E47" i="9"/>
  <c r="D47" i="9"/>
  <c r="C47" i="9"/>
  <c r="A47" i="9"/>
  <c r="I46" i="9"/>
  <c r="H46" i="9"/>
  <c r="J46" i="9" s="1"/>
  <c r="G46" i="9"/>
  <c r="F46" i="9"/>
  <c r="E46" i="9"/>
  <c r="D46" i="9"/>
  <c r="L46" i="9" s="1"/>
  <c r="C46" i="9"/>
  <c r="A46" i="9"/>
  <c r="I45" i="9"/>
  <c r="H45" i="9"/>
  <c r="G45" i="9"/>
  <c r="F45" i="9"/>
  <c r="E45" i="9"/>
  <c r="D45" i="9"/>
  <c r="L45" i="9" s="1"/>
  <c r="C45" i="9"/>
  <c r="A45" i="9"/>
  <c r="I44" i="9"/>
  <c r="H44" i="9"/>
  <c r="J44" i="9" s="1"/>
  <c r="G44" i="9"/>
  <c r="F44" i="9"/>
  <c r="E44" i="9"/>
  <c r="D44" i="9"/>
  <c r="L44" i="9" s="1"/>
  <c r="C44" i="9"/>
  <c r="A44" i="9"/>
  <c r="J43" i="9"/>
  <c r="I43" i="9"/>
  <c r="H43" i="9"/>
  <c r="G43" i="9"/>
  <c r="F43" i="9"/>
  <c r="E43" i="9"/>
  <c r="D43" i="9"/>
  <c r="L43" i="9" s="1"/>
  <c r="C43" i="9"/>
  <c r="A43" i="9"/>
  <c r="I42" i="9"/>
  <c r="H42" i="9"/>
  <c r="J42" i="9" s="1"/>
  <c r="G42" i="9"/>
  <c r="F42" i="9"/>
  <c r="E42" i="9"/>
  <c r="D42" i="9"/>
  <c r="L42" i="9" s="1"/>
  <c r="C42" i="9"/>
  <c r="A42" i="9"/>
  <c r="L41" i="9"/>
  <c r="I41" i="9"/>
  <c r="H41" i="9"/>
  <c r="J41" i="9" s="1"/>
  <c r="G41" i="9"/>
  <c r="F41" i="9"/>
  <c r="E41" i="9"/>
  <c r="D41" i="9"/>
  <c r="C41" i="9"/>
  <c r="A41" i="9"/>
  <c r="I40" i="9"/>
  <c r="H40" i="9"/>
  <c r="J40" i="9" s="1"/>
  <c r="G40" i="9"/>
  <c r="F40" i="9"/>
  <c r="E40" i="9"/>
  <c r="D40" i="9"/>
  <c r="L40" i="9" s="1"/>
  <c r="C40" i="9"/>
  <c r="A40" i="9"/>
  <c r="L39" i="9"/>
  <c r="J39" i="9"/>
  <c r="I39" i="9"/>
  <c r="H39" i="9"/>
  <c r="G39" i="9"/>
  <c r="F39" i="9"/>
  <c r="E39" i="9"/>
  <c r="D39" i="9"/>
  <c r="C39" i="9"/>
  <c r="A39" i="9"/>
  <c r="I38" i="9"/>
  <c r="H38" i="9"/>
  <c r="J38" i="9" s="1"/>
  <c r="G38" i="9"/>
  <c r="F38" i="9"/>
  <c r="E38" i="9"/>
  <c r="D38" i="9"/>
  <c r="L38" i="9" s="1"/>
  <c r="C38" i="9"/>
  <c r="A38" i="9"/>
  <c r="I37" i="9"/>
  <c r="H37" i="9"/>
  <c r="G37" i="9"/>
  <c r="F37" i="9"/>
  <c r="E37" i="9"/>
  <c r="D37" i="9"/>
  <c r="L37" i="9" s="1"/>
  <c r="C37" i="9"/>
  <c r="A37" i="9"/>
  <c r="I36" i="9"/>
  <c r="H36" i="9"/>
  <c r="J36" i="9" s="1"/>
  <c r="G36" i="9"/>
  <c r="F36" i="9"/>
  <c r="E36" i="9"/>
  <c r="D36" i="9"/>
  <c r="L36" i="9" s="1"/>
  <c r="C36" i="9"/>
  <c r="A36" i="9"/>
  <c r="J35" i="9"/>
  <c r="I35" i="9"/>
  <c r="H35" i="9"/>
  <c r="G35" i="9"/>
  <c r="F35" i="9"/>
  <c r="E35" i="9"/>
  <c r="D35" i="9"/>
  <c r="L35" i="9" s="1"/>
  <c r="C35" i="9"/>
  <c r="A35" i="9"/>
  <c r="I34" i="9"/>
  <c r="H34" i="9"/>
  <c r="J34" i="9" s="1"/>
  <c r="G34" i="9"/>
  <c r="F34" i="9"/>
  <c r="E34" i="9"/>
  <c r="D34" i="9"/>
  <c r="L34" i="9" s="1"/>
  <c r="C34" i="9"/>
  <c r="A34" i="9"/>
  <c r="L33" i="9"/>
  <c r="I33" i="9"/>
  <c r="H33" i="9"/>
  <c r="J33" i="9" s="1"/>
  <c r="G33" i="9"/>
  <c r="F33" i="9"/>
  <c r="E33" i="9"/>
  <c r="D33" i="9"/>
  <c r="C33" i="9"/>
  <c r="A33" i="9"/>
  <c r="I32" i="9"/>
  <c r="H32" i="9"/>
  <c r="J32" i="9" s="1"/>
  <c r="G32" i="9"/>
  <c r="F32" i="9"/>
  <c r="E32" i="9"/>
  <c r="D32" i="9"/>
  <c r="L32" i="9" s="1"/>
  <c r="C32" i="9"/>
  <c r="A32" i="9"/>
  <c r="L31" i="9"/>
  <c r="J31" i="9"/>
  <c r="I31" i="9"/>
  <c r="H31" i="9"/>
  <c r="G31" i="9"/>
  <c r="F31" i="9"/>
  <c r="E31" i="9"/>
  <c r="D31" i="9"/>
  <c r="C31" i="9"/>
  <c r="A31" i="9"/>
  <c r="I30" i="9"/>
  <c r="H30" i="9"/>
  <c r="J30" i="9" s="1"/>
  <c r="G30" i="9"/>
  <c r="F30" i="9"/>
  <c r="E30" i="9"/>
  <c r="D30" i="9"/>
  <c r="L30" i="9" s="1"/>
  <c r="C30" i="9"/>
  <c r="A30" i="9"/>
  <c r="I29" i="9"/>
  <c r="H29" i="9"/>
  <c r="G29" i="9"/>
  <c r="F29" i="9"/>
  <c r="E29" i="9"/>
  <c r="D29" i="9"/>
  <c r="L29" i="9" s="1"/>
  <c r="C29" i="9"/>
  <c r="A29" i="9"/>
  <c r="I28" i="9"/>
  <c r="H28" i="9"/>
  <c r="J28" i="9" s="1"/>
  <c r="G28" i="9"/>
  <c r="F28" i="9"/>
  <c r="E28" i="9"/>
  <c r="D28" i="9"/>
  <c r="L28" i="9" s="1"/>
  <c r="C28" i="9"/>
  <c r="A28" i="9"/>
  <c r="J27" i="9"/>
  <c r="I27" i="9"/>
  <c r="H27" i="9"/>
  <c r="G27" i="9"/>
  <c r="F27" i="9"/>
  <c r="E27" i="9"/>
  <c r="D27" i="9"/>
  <c r="L27" i="9" s="1"/>
  <c r="C27" i="9"/>
  <c r="A27" i="9"/>
  <c r="I26" i="9"/>
  <c r="H26" i="9"/>
  <c r="J26" i="9" s="1"/>
  <c r="G26" i="9"/>
  <c r="F26" i="9"/>
  <c r="E26" i="9"/>
  <c r="D26" i="9"/>
  <c r="L26" i="9" s="1"/>
  <c r="C26" i="9"/>
  <c r="A26" i="9"/>
  <c r="L25" i="9"/>
  <c r="I25" i="9"/>
  <c r="H25" i="9"/>
  <c r="J25" i="9" s="1"/>
  <c r="G25" i="9"/>
  <c r="F25" i="9"/>
  <c r="E25" i="9"/>
  <c r="D25" i="9"/>
  <c r="C25" i="9"/>
  <c r="A25" i="9"/>
  <c r="I24" i="9"/>
  <c r="H24" i="9"/>
  <c r="J24" i="9" s="1"/>
  <c r="G24" i="9"/>
  <c r="F24" i="9"/>
  <c r="E24" i="9"/>
  <c r="D24" i="9"/>
  <c r="L24" i="9" s="1"/>
  <c r="C24" i="9"/>
  <c r="A24" i="9"/>
  <c r="L23" i="9"/>
  <c r="J23" i="9"/>
  <c r="I23" i="9"/>
  <c r="H23" i="9"/>
  <c r="G23" i="9"/>
  <c r="F23" i="9"/>
  <c r="E23" i="9"/>
  <c r="D23" i="9"/>
  <c r="C23" i="9"/>
  <c r="A23" i="9"/>
  <c r="I22" i="9"/>
  <c r="H22" i="9"/>
  <c r="J22" i="9" s="1"/>
  <c r="G22" i="9"/>
  <c r="F22" i="9"/>
  <c r="E22" i="9"/>
  <c r="D22" i="9"/>
  <c r="L22" i="9" s="1"/>
  <c r="C22" i="9"/>
  <c r="A22" i="9"/>
  <c r="I21" i="9"/>
  <c r="H21" i="9"/>
  <c r="G21" i="9"/>
  <c r="F21" i="9"/>
  <c r="E21" i="9"/>
  <c r="D21" i="9"/>
  <c r="L21" i="9" s="1"/>
  <c r="C21" i="9"/>
  <c r="A21" i="9"/>
  <c r="I20" i="9"/>
  <c r="H20" i="9"/>
  <c r="J20" i="9" s="1"/>
  <c r="G20" i="9"/>
  <c r="F20" i="9"/>
  <c r="E20" i="9"/>
  <c r="D20" i="9"/>
  <c r="L20" i="9" s="1"/>
  <c r="C20" i="9"/>
  <c r="A20" i="9"/>
  <c r="J19" i="9"/>
  <c r="I19" i="9"/>
  <c r="H19" i="9"/>
  <c r="G19" i="9"/>
  <c r="F19" i="9"/>
  <c r="E19" i="9"/>
  <c r="D19" i="9"/>
  <c r="L19" i="9" s="1"/>
  <c r="C19" i="9"/>
  <c r="A19" i="9"/>
  <c r="I18" i="9"/>
  <c r="H18" i="9"/>
  <c r="J18" i="9" s="1"/>
  <c r="G18" i="9"/>
  <c r="F18" i="9"/>
  <c r="E18" i="9"/>
  <c r="D18" i="9"/>
  <c r="L18" i="9" s="1"/>
  <c r="C18" i="9"/>
  <c r="A18" i="9"/>
  <c r="L17" i="9"/>
  <c r="I17" i="9"/>
  <c r="H17" i="9"/>
  <c r="J17" i="9" s="1"/>
  <c r="G17" i="9"/>
  <c r="F17" i="9"/>
  <c r="E17" i="9"/>
  <c r="D17" i="9"/>
  <c r="C17" i="9"/>
  <c r="A17" i="9"/>
  <c r="I16" i="9"/>
  <c r="H16" i="9"/>
  <c r="J16" i="9" s="1"/>
  <c r="G16" i="9"/>
  <c r="F16" i="9"/>
  <c r="E16" i="9"/>
  <c r="D16" i="9"/>
  <c r="L16" i="9" s="1"/>
  <c r="C16" i="9"/>
  <c r="A16" i="9"/>
  <c r="L15" i="9"/>
  <c r="J15" i="9"/>
  <c r="I15" i="9"/>
  <c r="H15" i="9"/>
  <c r="G15" i="9"/>
  <c r="F15" i="9"/>
  <c r="E15" i="9"/>
  <c r="D15" i="9"/>
  <c r="C15" i="9"/>
  <c r="A15" i="9"/>
  <c r="I14" i="9"/>
  <c r="H14" i="9"/>
  <c r="J14" i="9" s="1"/>
  <c r="G14" i="9"/>
  <c r="F14" i="9"/>
  <c r="E14" i="9"/>
  <c r="D14" i="9"/>
  <c r="L14" i="9" s="1"/>
  <c r="C14" i="9"/>
  <c r="A14" i="9"/>
  <c r="I13" i="9"/>
  <c r="H13" i="9"/>
  <c r="G13" i="9"/>
  <c r="F13" i="9"/>
  <c r="E13" i="9"/>
  <c r="D13" i="9"/>
  <c r="L13" i="9" s="1"/>
  <c r="C13" i="9"/>
  <c r="A13" i="9"/>
  <c r="I12" i="9"/>
  <c r="H12" i="9"/>
  <c r="J12" i="9" s="1"/>
  <c r="G12" i="9"/>
  <c r="F12" i="9"/>
  <c r="E12" i="9"/>
  <c r="D12" i="9"/>
  <c r="L12" i="9" s="1"/>
  <c r="C12" i="9"/>
  <c r="A12" i="9"/>
  <c r="J11" i="9"/>
  <c r="I11" i="9"/>
  <c r="H11" i="9"/>
  <c r="G11" i="9"/>
  <c r="F11" i="9"/>
  <c r="E11" i="9"/>
  <c r="D11" i="9"/>
  <c r="L11" i="9" s="1"/>
  <c r="C11" i="9"/>
  <c r="A11" i="9"/>
  <c r="I10" i="9"/>
  <c r="H10" i="9"/>
  <c r="J10" i="9" s="1"/>
  <c r="G10" i="9"/>
  <c r="F10" i="9"/>
  <c r="E10" i="9"/>
  <c r="D10" i="9"/>
  <c r="L10" i="9" s="1"/>
  <c r="C10" i="9"/>
  <c r="A10" i="9"/>
  <c r="B9" i="9"/>
  <c r="B5" i="9"/>
  <c r="F31" i="8"/>
  <c r="E31" i="8"/>
  <c r="B31" i="8"/>
  <c r="F30" i="8"/>
  <c r="E30" i="8"/>
  <c r="B30" i="8"/>
  <c r="F29" i="8"/>
  <c r="E29" i="8"/>
  <c r="B29" i="8"/>
  <c r="F28" i="8"/>
  <c r="E28" i="8"/>
  <c r="B28" i="8"/>
  <c r="F27" i="8"/>
  <c r="E27" i="8"/>
  <c r="B27" i="8"/>
  <c r="F26" i="8"/>
  <c r="E26" i="8"/>
  <c r="B26" i="8"/>
  <c r="F25" i="8"/>
  <c r="E25" i="8"/>
  <c r="B25" i="8"/>
  <c r="F24" i="8"/>
  <c r="E24" i="8"/>
  <c r="B24" i="8"/>
  <c r="F23" i="8"/>
  <c r="E23" i="8"/>
  <c r="B23" i="8"/>
  <c r="F22" i="8"/>
  <c r="E22" i="8"/>
  <c r="B22" i="8"/>
  <c r="F21" i="8"/>
  <c r="E21" i="8"/>
  <c r="B21" i="8"/>
  <c r="F20" i="8"/>
  <c r="E20" i="8"/>
  <c r="B20" i="8"/>
  <c r="F19" i="8"/>
  <c r="E19" i="8"/>
  <c r="B19" i="8"/>
  <c r="F18" i="8"/>
  <c r="E18" i="8"/>
  <c r="B18" i="8"/>
  <c r="F17" i="8"/>
  <c r="E17" i="8"/>
  <c r="B17" i="8"/>
  <c r="F16" i="8"/>
  <c r="E16" i="8"/>
  <c r="B16" i="8"/>
  <c r="F15" i="8"/>
  <c r="E15" i="8"/>
  <c r="D15" i="8"/>
  <c r="S15" i="8" s="1"/>
  <c r="B15" i="8"/>
  <c r="F14" i="8"/>
  <c r="E14" i="8"/>
  <c r="C14" i="8"/>
  <c r="B14" i="8"/>
  <c r="F13" i="8"/>
  <c r="E13" i="8"/>
  <c r="B13" i="8"/>
  <c r="F12" i="8"/>
  <c r="E12" i="8"/>
  <c r="C12" i="8"/>
  <c r="B12" i="8"/>
  <c r="D11" i="8"/>
  <c r="D28" i="8" s="1"/>
  <c r="S28" i="8" s="1"/>
  <c r="C11" i="8"/>
  <c r="C31" i="8" s="1"/>
  <c r="O132" i="7"/>
  <c r="A132" i="7"/>
  <c r="O131" i="7"/>
  <c r="A131" i="7"/>
  <c r="O130" i="7"/>
  <c r="A130" i="7"/>
  <c r="O129" i="7"/>
  <c r="A129" i="7"/>
  <c r="O128" i="7"/>
  <c r="A128" i="7"/>
  <c r="O127" i="7"/>
  <c r="A127" i="7"/>
  <c r="O126" i="7"/>
  <c r="A126" i="7"/>
  <c r="O125" i="7"/>
  <c r="A125" i="7"/>
  <c r="O124" i="7"/>
  <c r="A124" i="7"/>
  <c r="O123" i="7"/>
  <c r="A123" i="7"/>
  <c r="O122" i="7"/>
  <c r="A122" i="7"/>
  <c r="O121" i="7"/>
  <c r="A121" i="7"/>
  <c r="O120" i="7"/>
  <c r="A120" i="7"/>
  <c r="O119" i="7"/>
  <c r="A119" i="7"/>
  <c r="O118" i="7"/>
  <c r="A118" i="7"/>
  <c r="O117" i="7"/>
  <c r="A117" i="7"/>
  <c r="O116" i="7"/>
  <c r="A116" i="7"/>
  <c r="O115" i="7"/>
  <c r="A115" i="7"/>
  <c r="O114" i="7"/>
  <c r="A114" i="7"/>
  <c r="O113" i="7"/>
  <c r="A113" i="7"/>
  <c r="O112" i="7"/>
  <c r="A112" i="7"/>
  <c r="O111" i="7"/>
  <c r="A111" i="7"/>
  <c r="O110" i="7"/>
  <c r="A110" i="7"/>
  <c r="O109" i="7"/>
  <c r="A109" i="7"/>
  <c r="O108" i="7"/>
  <c r="A108" i="7"/>
  <c r="O107" i="7"/>
  <c r="A107" i="7"/>
  <c r="O106" i="7"/>
  <c r="A106" i="7"/>
  <c r="O105" i="7"/>
  <c r="A105" i="7"/>
  <c r="O104" i="7"/>
  <c r="A104" i="7"/>
  <c r="O103" i="7"/>
  <c r="A103" i="7"/>
  <c r="O102" i="7"/>
  <c r="A102" i="7"/>
  <c r="O101" i="7"/>
  <c r="A101" i="7"/>
  <c r="O100" i="7"/>
  <c r="A100" i="7"/>
  <c r="O99" i="7"/>
  <c r="A99" i="7"/>
  <c r="O98" i="7"/>
  <c r="A98" i="7"/>
  <c r="O97" i="7"/>
  <c r="A97" i="7"/>
  <c r="O96" i="7"/>
  <c r="A96" i="7"/>
  <c r="O95" i="7"/>
  <c r="A95" i="7"/>
  <c r="O94" i="7"/>
  <c r="A94" i="7"/>
  <c r="O93" i="7"/>
  <c r="A93" i="7"/>
  <c r="O92" i="7"/>
  <c r="A92" i="7"/>
  <c r="O91" i="7"/>
  <c r="A91" i="7"/>
  <c r="O90" i="7"/>
  <c r="A90" i="7"/>
  <c r="O89" i="7"/>
  <c r="A89" i="7"/>
  <c r="O88" i="7"/>
  <c r="A88" i="7"/>
  <c r="O87" i="7"/>
  <c r="A87" i="7"/>
  <c r="O86" i="7"/>
  <c r="A86" i="7"/>
  <c r="O85" i="7"/>
  <c r="A85" i="7"/>
  <c r="O84" i="7"/>
  <c r="A84" i="7"/>
  <c r="O83" i="7"/>
  <c r="A83" i="7"/>
  <c r="O82" i="7"/>
  <c r="A82" i="7"/>
  <c r="O81" i="7"/>
  <c r="A81" i="7"/>
  <c r="O80" i="7"/>
  <c r="A80" i="7"/>
  <c r="O79" i="7"/>
  <c r="A79" i="7"/>
  <c r="O78" i="7"/>
  <c r="A78" i="7"/>
  <c r="O77" i="7"/>
  <c r="A77" i="7"/>
  <c r="O76" i="7"/>
  <c r="A76" i="7"/>
  <c r="O75" i="7"/>
  <c r="A75" i="7"/>
  <c r="O74" i="7"/>
  <c r="A74" i="7"/>
  <c r="O73" i="7"/>
  <c r="A73" i="7"/>
  <c r="O72" i="7"/>
  <c r="A72" i="7"/>
  <c r="O71" i="7"/>
  <c r="A71" i="7"/>
  <c r="O70" i="7"/>
  <c r="A70" i="7"/>
  <c r="O69" i="7"/>
  <c r="A69" i="7"/>
  <c r="O68" i="7"/>
  <c r="A68" i="7"/>
  <c r="O67" i="7"/>
  <c r="A67" i="7"/>
  <c r="O66" i="7"/>
  <c r="A66" i="7"/>
  <c r="O65" i="7"/>
  <c r="A65" i="7"/>
  <c r="O64" i="7"/>
  <c r="A64" i="7"/>
  <c r="O63" i="7"/>
  <c r="A63" i="7"/>
  <c r="O62" i="7"/>
  <c r="A62" i="7"/>
  <c r="O61" i="7"/>
  <c r="A61" i="7"/>
  <c r="O60" i="7"/>
  <c r="A60" i="7"/>
  <c r="O59" i="7"/>
  <c r="A59" i="7"/>
  <c r="O58" i="7"/>
  <c r="A58" i="7"/>
  <c r="O57" i="7"/>
  <c r="A57" i="7"/>
  <c r="O56" i="7"/>
  <c r="A56" i="7"/>
  <c r="O55" i="7"/>
  <c r="A55" i="7"/>
  <c r="O54" i="7"/>
  <c r="A54" i="7"/>
  <c r="O53" i="7"/>
  <c r="A53" i="7"/>
  <c r="O52" i="7"/>
  <c r="A52" i="7"/>
  <c r="O51" i="7"/>
  <c r="A51" i="7"/>
  <c r="O50" i="7"/>
  <c r="A50" i="7"/>
  <c r="O49" i="7"/>
  <c r="A49" i="7"/>
  <c r="O48" i="7"/>
  <c r="A48" i="7"/>
  <c r="O47" i="7"/>
  <c r="A47" i="7"/>
  <c r="O46" i="7"/>
  <c r="A46" i="7"/>
  <c r="O45" i="7"/>
  <c r="A45" i="7"/>
  <c r="O44" i="7"/>
  <c r="A44" i="7"/>
  <c r="O43" i="7"/>
  <c r="A43" i="7"/>
  <c r="O42" i="7"/>
  <c r="A42" i="7"/>
  <c r="O41" i="7"/>
  <c r="A41" i="7"/>
  <c r="O40" i="7"/>
  <c r="A40" i="7"/>
  <c r="O39" i="7"/>
  <c r="A39" i="7"/>
  <c r="O38" i="7"/>
  <c r="A38" i="7"/>
  <c r="O37" i="7"/>
  <c r="A37" i="7"/>
  <c r="O36" i="7"/>
  <c r="A36" i="7"/>
  <c r="O35" i="7"/>
  <c r="A35" i="7"/>
  <c r="O34" i="7"/>
  <c r="A34" i="7"/>
  <c r="O33" i="7"/>
  <c r="A33" i="7"/>
  <c r="O32" i="7"/>
  <c r="A32" i="7"/>
  <c r="O31" i="7"/>
  <c r="A31" i="7"/>
  <c r="O30" i="7"/>
  <c r="A30" i="7"/>
  <c r="O29" i="7"/>
  <c r="A29" i="7"/>
  <c r="O28" i="7"/>
  <c r="A28" i="7"/>
  <c r="O27" i="7"/>
  <c r="A27" i="7"/>
  <c r="O26" i="7"/>
  <c r="A26" i="7"/>
  <c r="O25" i="7"/>
  <c r="A25" i="7"/>
  <c r="O24" i="7"/>
  <c r="A24" i="7"/>
  <c r="O23" i="7"/>
  <c r="A23" i="7"/>
  <c r="O22" i="7"/>
  <c r="A22" i="7"/>
  <c r="O21" i="7"/>
  <c r="A21" i="7"/>
  <c r="O20" i="7"/>
  <c r="A20" i="7"/>
  <c r="O19" i="7"/>
  <c r="A19" i="7"/>
  <c r="O18" i="7"/>
  <c r="A18" i="7"/>
  <c r="O17" i="7"/>
  <c r="A17" i="7"/>
  <c r="O16" i="7"/>
  <c r="A16" i="7"/>
  <c r="O15" i="7"/>
  <c r="A15" i="7"/>
  <c r="O14" i="7"/>
  <c r="M14" i="7"/>
  <c r="A14" i="7"/>
  <c r="O13" i="7"/>
  <c r="A13" i="7"/>
  <c r="O12" i="7"/>
  <c r="G12" i="7"/>
  <c r="A12" i="7"/>
  <c r="O11" i="7"/>
  <c r="O7" i="7" s="1"/>
  <c r="A11" i="7"/>
  <c r="O10" i="7"/>
  <c r="A10" i="7"/>
  <c r="J9" i="7"/>
  <c r="H9" i="7"/>
  <c r="E9" i="7"/>
  <c r="A9" i="7"/>
  <c r="M8" i="7"/>
  <c r="M56" i="7" s="1"/>
  <c r="L8" i="7"/>
  <c r="L52" i="7" s="1"/>
  <c r="K8" i="7"/>
  <c r="K52" i="7" s="1"/>
  <c r="J8" i="7"/>
  <c r="J52" i="7" s="1"/>
  <c r="I8" i="7"/>
  <c r="I52" i="7" s="1"/>
  <c r="H8" i="7"/>
  <c r="G8" i="7"/>
  <c r="G47" i="7" s="1"/>
  <c r="F8" i="7"/>
  <c r="F47" i="7" s="1"/>
  <c r="E8" i="7"/>
  <c r="E47" i="7" s="1"/>
  <c r="D8" i="7"/>
  <c r="D47" i="7" s="1"/>
  <c r="C8" i="7"/>
  <c r="C56" i="7" s="1"/>
  <c r="B8" i="7"/>
  <c r="B4" i="7"/>
  <c r="A8" i="8" s="1"/>
  <c r="M2" i="7"/>
  <c r="L2" i="7"/>
  <c r="K2" i="7"/>
  <c r="J2" i="7"/>
  <c r="M1" i="7"/>
  <c r="F1" i="7"/>
  <c r="E1" i="7"/>
  <c r="D1" i="7"/>
  <c r="D2" i="7" s="1"/>
  <c r="C1" i="7"/>
  <c r="B36" i="6"/>
  <c r="B35" i="6"/>
  <c r="B34" i="6"/>
  <c r="B33" i="6"/>
  <c r="B10" i="6"/>
  <c r="B9" i="6"/>
  <c r="I31" i="5"/>
  <c r="A31" i="5"/>
  <c r="E30" i="5"/>
  <c r="I30" i="5" s="1"/>
  <c r="A30" i="5"/>
  <c r="H30" i="5" s="1"/>
  <c r="G29" i="5"/>
  <c r="F29" i="5"/>
  <c r="E29" i="5"/>
  <c r="I29" i="5" s="1"/>
  <c r="A29" i="5"/>
  <c r="H29" i="5" s="1"/>
  <c r="H28" i="5"/>
  <c r="G28" i="5"/>
  <c r="F28" i="5"/>
  <c r="C28" i="5"/>
  <c r="A28" i="5"/>
  <c r="E28" i="5" s="1"/>
  <c r="I28" i="5" s="1"/>
  <c r="H27" i="5"/>
  <c r="G27" i="5"/>
  <c r="A27" i="5"/>
  <c r="D27" i="5" s="1"/>
  <c r="H26" i="5"/>
  <c r="E26" i="5"/>
  <c r="I26" i="5" s="1"/>
  <c r="C26" i="5"/>
  <c r="A26" i="5"/>
  <c r="A25" i="5"/>
  <c r="D25" i="5" s="1"/>
  <c r="G24" i="5"/>
  <c r="E24" i="5"/>
  <c r="I24" i="5" s="1"/>
  <c r="D24" i="5"/>
  <c r="C24" i="5"/>
  <c r="A24" i="5"/>
  <c r="F24" i="5" s="1"/>
  <c r="H23" i="5"/>
  <c r="G23" i="5"/>
  <c r="F23" i="5"/>
  <c r="E23" i="5"/>
  <c r="I23" i="5" s="1"/>
  <c r="D23" i="5"/>
  <c r="C23" i="5"/>
  <c r="A23" i="5"/>
  <c r="H22" i="5"/>
  <c r="G22" i="5"/>
  <c r="E22" i="5"/>
  <c r="I22" i="5" s="1"/>
  <c r="A22" i="5"/>
  <c r="D22" i="5" s="1"/>
  <c r="H21" i="5"/>
  <c r="G21" i="5"/>
  <c r="E21" i="5"/>
  <c r="I21" i="5" s="1"/>
  <c r="A21" i="5"/>
  <c r="C21" i="5" s="1"/>
  <c r="H20" i="5"/>
  <c r="G20" i="5"/>
  <c r="E20" i="5"/>
  <c r="I20" i="5" s="1"/>
  <c r="A20" i="5"/>
  <c r="D20" i="5" s="1"/>
  <c r="H19" i="5"/>
  <c r="G19" i="5"/>
  <c r="D19" i="5"/>
  <c r="A19" i="5"/>
  <c r="E19" i="5" s="1"/>
  <c r="I19" i="5" s="1"/>
  <c r="H18" i="5"/>
  <c r="G18" i="5"/>
  <c r="D18" i="5"/>
  <c r="A18" i="5"/>
  <c r="F18" i="5" s="1"/>
  <c r="H17" i="5"/>
  <c r="F17" i="5"/>
  <c r="D17" i="5"/>
  <c r="A17" i="5"/>
  <c r="G17" i="5" s="1"/>
  <c r="G16" i="5"/>
  <c r="F16" i="5"/>
  <c r="D16" i="5"/>
  <c r="A16" i="5"/>
  <c r="H16" i="5" s="1"/>
  <c r="H15" i="5"/>
  <c r="G15" i="5"/>
  <c r="E15" i="5"/>
  <c r="I15" i="5" s="1"/>
  <c r="D15" i="5"/>
  <c r="A15" i="5"/>
  <c r="C15" i="5" s="1"/>
  <c r="A14" i="5"/>
  <c r="F14" i="5" s="1"/>
  <c r="A13" i="5"/>
  <c r="G13" i="5" s="1"/>
  <c r="H12" i="5"/>
  <c r="G12" i="5"/>
  <c r="E12" i="5"/>
  <c r="I12" i="5" s="1"/>
  <c r="D12" i="5"/>
  <c r="C12" i="5"/>
  <c r="A12" i="5"/>
  <c r="F12" i="5" s="1"/>
  <c r="I9" i="5"/>
  <c r="B9" i="5" s="1"/>
  <c r="B7" i="5"/>
  <c r="C52" i="4"/>
  <c r="C51" i="4"/>
  <c r="C49" i="4"/>
  <c r="C48" i="4"/>
  <c r="C47" i="4"/>
  <c r="C46" i="4"/>
  <c r="G43" i="4"/>
  <c r="F43" i="4"/>
  <c r="D43" i="4"/>
  <c r="A43" i="4"/>
  <c r="C43" i="4" s="1"/>
  <c r="H42" i="4"/>
  <c r="G42" i="4"/>
  <c r="E42" i="4"/>
  <c r="I42" i="4" s="1"/>
  <c r="D42" i="4"/>
  <c r="A42" i="4"/>
  <c r="C42" i="4" s="1"/>
  <c r="A41" i="4"/>
  <c r="F41" i="4" s="1"/>
  <c r="A40" i="4"/>
  <c r="G40" i="4" s="1"/>
  <c r="H39" i="4"/>
  <c r="G39" i="4"/>
  <c r="E39" i="4"/>
  <c r="I39" i="4" s="1"/>
  <c r="D39" i="4"/>
  <c r="C39" i="4"/>
  <c r="A39" i="4"/>
  <c r="F39" i="4" s="1"/>
  <c r="D38" i="4"/>
  <c r="A38" i="4"/>
  <c r="H38" i="4" s="1"/>
  <c r="G37" i="4"/>
  <c r="E37" i="4"/>
  <c r="I37" i="4" s="1"/>
  <c r="D37" i="4"/>
  <c r="A37" i="4"/>
  <c r="H37" i="4" s="1"/>
  <c r="H36" i="4"/>
  <c r="G36" i="4"/>
  <c r="F36" i="4"/>
  <c r="E36" i="4"/>
  <c r="I36" i="4" s="1"/>
  <c r="D36" i="4"/>
  <c r="C36" i="4"/>
  <c r="A36" i="4"/>
  <c r="G35" i="4"/>
  <c r="F35" i="4"/>
  <c r="D35" i="4"/>
  <c r="A35" i="4"/>
  <c r="C35" i="4" s="1"/>
  <c r="H34" i="4"/>
  <c r="G34" i="4"/>
  <c r="E34" i="4"/>
  <c r="I34" i="4" s="1"/>
  <c r="D34" i="4"/>
  <c r="A34" i="4"/>
  <c r="C34" i="4" s="1"/>
  <c r="A33" i="4"/>
  <c r="F33" i="4" s="1"/>
  <c r="A32" i="4"/>
  <c r="G32" i="4" s="1"/>
  <c r="H31" i="4"/>
  <c r="G31" i="4"/>
  <c r="E31" i="4"/>
  <c r="I31" i="4" s="1"/>
  <c r="D31" i="4"/>
  <c r="C31" i="4"/>
  <c r="A31" i="4"/>
  <c r="F31" i="4" s="1"/>
  <c r="D30" i="4"/>
  <c r="A30" i="4"/>
  <c r="H30" i="4" s="1"/>
  <c r="G29" i="4"/>
  <c r="E29" i="4"/>
  <c r="I29" i="4" s="1"/>
  <c r="D29" i="4"/>
  <c r="A29" i="4"/>
  <c r="H29" i="4" s="1"/>
  <c r="H28" i="4"/>
  <c r="G28" i="4"/>
  <c r="F28" i="4"/>
  <c r="E28" i="4"/>
  <c r="I28" i="4" s="1"/>
  <c r="D28" i="4"/>
  <c r="C28" i="4"/>
  <c r="A28" i="4"/>
  <c r="G27" i="4"/>
  <c r="F27" i="4"/>
  <c r="D27" i="4"/>
  <c r="A27" i="4"/>
  <c r="C27" i="4" s="1"/>
  <c r="H26" i="4"/>
  <c r="G26" i="4"/>
  <c r="E26" i="4"/>
  <c r="I26" i="4" s="1"/>
  <c r="D26" i="4"/>
  <c r="A26" i="4"/>
  <c r="C26" i="4" s="1"/>
  <c r="A25" i="4"/>
  <c r="E25" i="4" s="1"/>
  <c r="I25" i="4" s="1"/>
  <c r="G24" i="4"/>
  <c r="A24" i="4"/>
  <c r="F24" i="4" s="1"/>
  <c r="C18" i="4"/>
  <c r="C50" i="4" s="1"/>
  <c r="B10" i="4"/>
  <c r="B9" i="4"/>
  <c r="B8" i="4"/>
  <c r="C48" i="3"/>
  <c r="C46" i="3"/>
  <c r="C45" i="3"/>
  <c r="C44" i="3"/>
  <c r="C43" i="3"/>
  <c r="G40" i="3"/>
  <c r="F40" i="3"/>
  <c r="H40" i="3" s="1"/>
  <c r="D40" i="3"/>
  <c r="C40" i="3"/>
  <c r="G39" i="3"/>
  <c r="F39" i="3"/>
  <c r="H39" i="3" s="1"/>
  <c r="D39" i="3"/>
  <c r="C39" i="3"/>
  <c r="G38" i="3"/>
  <c r="F38" i="3"/>
  <c r="H38" i="3" s="1"/>
  <c r="D38" i="3"/>
  <c r="C38" i="3"/>
  <c r="G37" i="3"/>
  <c r="F37" i="3"/>
  <c r="H37" i="3" s="1"/>
  <c r="D37" i="3"/>
  <c r="C37" i="3"/>
  <c r="G36" i="3"/>
  <c r="F36" i="3"/>
  <c r="H36" i="3" s="1"/>
  <c r="D36" i="3"/>
  <c r="C36" i="3"/>
  <c r="G35" i="3"/>
  <c r="F35" i="3"/>
  <c r="H35" i="3" s="1"/>
  <c r="D35" i="3"/>
  <c r="C35" i="3"/>
  <c r="G34" i="3"/>
  <c r="F34" i="3"/>
  <c r="H34" i="3" s="1"/>
  <c r="D34" i="3"/>
  <c r="C34" i="3"/>
  <c r="G33" i="3"/>
  <c r="F33" i="3"/>
  <c r="H33" i="3" s="1"/>
  <c r="D33" i="3"/>
  <c r="C33" i="3"/>
  <c r="G32" i="3"/>
  <c r="F32" i="3"/>
  <c r="H32" i="3" s="1"/>
  <c r="D32" i="3"/>
  <c r="C32" i="3"/>
  <c r="G31" i="3"/>
  <c r="F31" i="3"/>
  <c r="H31" i="3" s="1"/>
  <c r="D31" i="3"/>
  <c r="C31" i="3"/>
  <c r="G30" i="3"/>
  <c r="F30" i="3"/>
  <c r="H30" i="3" s="1"/>
  <c r="D30" i="3"/>
  <c r="C30" i="3"/>
  <c r="G29" i="3"/>
  <c r="F29" i="3"/>
  <c r="H29" i="3" s="1"/>
  <c r="D29" i="3"/>
  <c r="C29" i="3"/>
  <c r="G28" i="3"/>
  <c r="F28" i="3"/>
  <c r="H28" i="3" s="1"/>
  <c r="D28" i="3"/>
  <c r="C28" i="3"/>
  <c r="G27" i="3"/>
  <c r="F27" i="3"/>
  <c r="H27" i="3" s="1"/>
  <c r="D27" i="3"/>
  <c r="C27" i="3"/>
  <c r="G26" i="3"/>
  <c r="F26" i="3"/>
  <c r="H26" i="3" s="1"/>
  <c r="D26" i="3"/>
  <c r="C26" i="3"/>
  <c r="G25" i="3"/>
  <c r="F25" i="3"/>
  <c r="H25" i="3" s="1"/>
  <c r="D25" i="3"/>
  <c r="C25" i="3"/>
  <c r="G24" i="3"/>
  <c r="F24" i="3"/>
  <c r="H24" i="3" s="1"/>
  <c r="D24" i="3"/>
  <c r="C24" i="3"/>
  <c r="G23" i="3"/>
  <c r="F23" i="3"/>
  <c r="H23" i="3" s="1"/>
  <c r="D23" i="3"/>
  <c r="C23" i="3"/>
  <c r="G22" i="3"/>
  <c r="F22" i="3"/>
  <c r="H22" i="3" s="1"/>
  <c r="D22" i="3"/>
  <c r="C22" i="3"/>
  <c r="G21" i="3"/>
  <c r="F21" i="3"/>
  <c r="H21" i="3" s="1"/>
  <c r="D21" i="3"/>
  <c r="C21" i="3"/>
  <c r="D17" i="3"/>
  <c r="C16" i="3"/>
  <c r="C47" i="3" s="1"/>
  <c r="B9" i="3"/>
  <c r="B8" i="3"/>
  <c r="E21" i="4"/>
  <c r="B7" i="2"/>
  <c r="B5" i="7"/>
  <c r="D134" i="9"/>
  <c r="C19" i="8" l="1"/>
  <c r="G9" i="7"/>
  <c r="M10" i="7"/>
  <c r="E12" i="7"/>
  <c r="E14" i="7"/>
  <c r="D19" i="8"/>
  <c r="S19" i="8" s="1"/>
  <c r="C21" i="8"/>
  <c r="D23" i="8"/>
  <c r="S23" i="8" s="1"/>
  <c r="C25" i="8"/>
  <c r="D27" i="8"/>
  <c r="S27" i="8" s="1"/>
  <c r="C29" i="8"/>
  <c r="D31" i="8"/>
  <c r="S31" i="8" s="1"/>
  <c r="J129" i="9"/>
  <c r="E11" i="7"/>
  <c r="C18" i="8"/>
  <c r="J58" i="9"/>
  <c r="J66" i="9"/>
  <c r="J74" i="9"/>
  <c r="J82" i="9"/>
  <c r="J90" i="9"/>
  <c r="J98" i="9"/>
  <c r="J106" i="9"/>
  <c r="J114" i="9"/>
  <c r="J122" i="9"/>
  <c r="J132" i="9"/>
  <c r="I12" i="7"/>
  <c r="M9" i="7"/>
  <c r="M12" i="7"/>
  <c r="C16" i="8"/>
  <c r="G11" i="7"/>
  <c r="C20" i="8"/>
  <c r="C22" i="8"/>
  <c r="C24" i="8"/>
  <c r="C26" i="8"/>
  <c r="C28" i="8"/>
  <c r="C30" i="8"/>
  <c r="E10" i="7"/>
  <c r="M11" i="7"/>
  <c r="G10" i="7"/>
  <c r="C13" i="8"/>
  <c r="C15" i="8"/>
  <c r="J13" i="9"/>
  <c r="J21" i="9"/>
  <c r="J133" i="9" s="1"/>
  <c r="J29" i="9"/>
  <c r="J37" i="9"/>
  <c r="J45" i="9"/>
  <c r="J53" i="9"/>
  <c r="J61" i="9"/>
  <c r="J69" i="9"/>
  <c r="J77" i="9"/>
  <c r="J85" i="9"/>
  <c r="J93" i="9"/>
  <c r="J101" i="9"/>
  <c r="J109" i="9"/>
  <c r="J117" i="9"/>
  <c r="J125" i="9"/>
  <c r="I10" i="7"/>
  <c r="C17" i="8"/>
  <c r="C21" i="4"/>
  <c r="C53" i="4" s="1"/>
  <c r="L134" i="9"/>
  <c r="B12" i="5"/>
  <c r="B40" i="3"/>
  <c r="B24" i="3"/>
  <c r="B28" i="3"/>
  <c r="F25" i="4"/>
  <c r="H24" i="4"/>
  <c r="G25" i="4"/>
  <c r="F26" i="4"/>
  <c r="E27" i="4"/>
  <c r="I27" i="4" s="1"/>
  <c r="C29" i="4"/>
  <c r="H32" i="4"/>
  <c r="G33" i="4"/>
  <c r="F34" i="4"/>
  <c r="E35" i="4"/>
  <c r="I35" i="4" s="1"/>
  <c r="C37" i="4"/>
  <c r="H40" i="4"/>
  <c r="G41" i="4"/>
  <c r="F42" i="4"/>
  <c r="E43" i="4"/>
  <c r="I43" i="4" s="1"/>
  <c r="H13" i="5"/>
  <c r="G14" i="5"/>
  <c r="F15" i="5"/>
  <c r="E16" i="5"/>
  <c r="I16" i="5" s="1"/>
  <c r="E17" i="5"/>
  <c r="I17" i="5" s="1"/>
  <c r="E18" i="5"/>
  <c r="I18" i="5" s="1"/>
  <c r="F19" i="5"/>
  <c r="F20" i="5"/>
  <c r="F21" i="5"/>
  <c r="F22" i="5"/>
  <c r="D26" i="5"/>
  <c r="G26" i="5"/>
  <c r="F26" i="5"/>
  <c r="B23" i="3"/>
  <c r="B27" i="3"/>
  <c r="B31" i="3"/>
  <c r="B35" i="3"/>
  <c r="B39" i="3"/>
  <c r="H25" i="4"/>
  <c r="C30" i="4"/>
  <c r="H33" i="4"/>
  <c r="C38" i="4"/>
  <c r="H41" i="4"/>
  <c r="H14" i="5"/>
  <c r="B22" i="3"/>
  <c r="B26" i="3"/>
  <c r="B30" i="3"/>
  <c r="B34" i="3"/>
  <c r="B38" i="3"/>
  <c r="C24" i="4"/>
  <c r="H27" i="4"/>
  <c r="F29" i="4"/>
  <c r="E30" i="4"/>
  <c r="I30" i="4" s="1"/>
  <c r="C32" i="4"/>
  <c r="H35" i="4"/>
  <c r="F37" i="4"/>
  <c r="E38" i="4"/>
  <c r="I38" i="4" s="1"/>
  <c r="C40" i="4"/>
  <c r="H43" i="4"/>
  <c r="C13" i="5"/>
  <c r="D24" i="4"/>
  <c r="C25" i="4"/>
  <c r="F30" i="4"/>
  <c r="D32" i="4"/>
  <c r="C33" i="4"/>
  <c r="F38" i="4"/>
  <c r="D40" i="4"/>
  <c r="C41" i="4"/>
  <c r="D13" i="5"/>
  <c r="C14" i="5"/>
  <c r="C25" i="5"/>
  <c r="B21" i="3"/>
  <c r="B25" i="3"/>
  <c r="B29" i="3"/>
  <c r="B33" i="3"/>
  <c r="B37" i="3"/>
  <c r="E24" i="4"/>
  <c r="I24" i="4" s="1"/>
  <c r="D25" i="4"/>
  <c r="G30" i="4"/>
  <c r="E32" i="4"/>
  <c r="I32" i="4" s="1"/>
  <c r="D33" i="4"/>
  <c r="G38" i="4"/>
  <c r="E40" i="4"/>
  <c r="I40" i="4" s="1"/>
  <c r="D41" i="4"/>
  <c r="E13" i="5"/>
  <c r="I13" i="5" s="1"/>
  <c r="D14" i="5"/>
  <c r="C22" i="5"/>
  <c r="E25" i="5"/>
  <c r="I25" i="5" s="1"/>
  <c r="H25" i="5"/>
  <c r="G25" i="5"/>
  <c r="F32" i="4"/>
  <c r="E33" i="4"/>
  <c r="I33" i="4" s="1"/>
  <c r="F40" i="4"/>
  <c r="E41" i="4"/>
  <c r="I41" i="4" s="1"/>
  <c r="F13" i="5"/>
  <c r="E14" i="5"/>
  <c r="I14" i="5" s="1"/>
  <c r="C16" i="5"/>
  <c r="C17" i="5"/>
  <c r="C18" i="5"/>
  <c r="C19" i="5"/>
  <c r="C20" i="5"/>
  <c r="D21" i="5"/>
  <c r="F25" i="5"/>
  <c r="C27" i="5"/>
  <c r="F27" i="5"/>
  <c r="E27" i="5"/>
  <c r="I27" i="5" s="1"/>
  <c r="B32" i="3"/>
  <c r="B36" i="3"/>
  <c r="H24" i="5"/>
  <c r="D28" i="5"/>
  <c r="C29" i="5"/>
  <c r="H132" i="7"/>
  <c r="H128" i="7"/>
  <c r="H124" i="7"/>
  <c r="H120" i="7"/>
  <c r="H116" i="7"/>
  <c r="H112" i="7"/>
  <c r="H108" i="7"/>
  <c r="H129" i="7"/>
  <c r="H125" i="7"/>
  <c r="H121" i="7"/>
  <c r="H117" i="7"/>
  <c r="H113" i="7"/>
  <c r="H109" i="7"/>
  <c r="H105" i="7"/>
  <c r="H130" i="7"/>
  <c r="H126" i="7"/>
  <c r="H122" i="7"/>
  <c r="H118" i="7"/>
  <c r="H114" i="7"/>
  <c r="H110" i="7"/>
  <c r="H131" i="7"/>
  <c r="H127" i="7"/>
  <c r="H123" i="7"/>
  <c r="H119" i="7"/>
  <c r="H115" i="7"/>
  <c r="H111" i="7"/>
  <c r="H107" i="7"/>
  <c r="H98" i="7"/>
  <c r="H94" i="7"/>
  <c r="H90" i="7"/>
  <c r="H86" i="7"/>
  <c r="H82" i="7"/>
  <c r="H78" i="7"/>
  <c r="H74" i="7"/>
  <c r="H70" i="7"/>
  <c r="H66" i="7"/>
  <c r="H62" i="7"/>
  <c r="H58" i="7"/>
  <c r="H106" i="7"/>
  <c r="H102" i="7"/>
  <c r="H99" i="7"/>
  <c r="H95" i="7"/>
  <c r="H91" i="7"/>
  <c r="H87" i="7"/>
  <c r="H83" i="7"/>
  <c r="H79" i="7"/>
  <c r="H75" i="7"/>
  <c r="H71" i="7"/>
  <c r="H67" i="7"/>
  <c r="H63" i="7"/>
  <c r="H59" i="7"/>
  <c r="H100" i="7"/>
  <c r="H96" i="7"/>
  <c r="H92" i="7"/>
  <c r="H88" i="7"/>
  <c r="H84" i="7"/>
  <c r="H80" i="7"/>
  <c r="H76" i="7"/>
  <c r="H72" i="7"/>
  <c r="H68" i="7"/>
  <c r="H64" i="7"/>
  <c r="H60" i="7"/>
  <c r="H56" i="7"/>
  <c r="H52" i="7"/>
  <c r="H104" i="7"/>
  <c r="H103" i="7"/>
  <c r="H101" i="7"/>
  <c r="H97" i="7"/>
  <c r="H93" i="7"/>
  <c r="H89" i="7"/>
  <c r="H85" i="7"/>
  <c r="H81" i="7"/>
  <c r="H77" i="7"/>
  <c r="H73" i="7"/>
  <c r="H69" i="7"/>
  <c r="H65" i="7"/>
  <c r="H61" i="7"/>
  <c r="H57" i="7"/>
  <c r="H53" i="7"/>
  <c r="D9" i="7"/>
  <c r="L9" i="7"/>
  <c r="I11" i="7"/>
  <c r="C12" i="7"/>
  <c r="K12" i="7"/>
  <c r="E13" i="7"/>
  <c r="M13" i="7"/>
  <c r="G14" i="7"/>
  <c r="I15" i="7"/>
  <c r="C16" i="7"/>
  <c r="K16" i="7"/>
  <c r="E17" i="7"/>
  <c r="M17" i="7"/>
  <c r="G18" i="7"/>
  <c r="I19" i="7"/>
  <c r="C20" i="7"/>
  <c r="K20" i="7"/>
  <c r="E21" i="7"/>
  <c r="M21" i="7"/>
  <c r="G22" i="7"/>
  <c r="I23" i="7"/>
  <c r="C24" i="7"/>
  <c r="K24" i="7"/>
  <c r="E25" i="7"/>
  <c r="M25" i="7"/>
  <c r="G26" i="7"/>
  <c r="I27" i="7"/>
  <c r="C28" i="7"/>
  <c r="K28" i="7"/>
  <c r="E29" i="7"/>
  <c r="M29" i="7"/>
  <c r="G30" i="7"/>
  <c r="I31" i="7"/>
  <c r="C32" i="7"/>
  <c r="K32" i="7"/>
  <c r="E33" i="7"/>
  <c r="M33" i="7"/>
  <c r="G34" i="7"/>
  <c r="I35" i="7"/>
  <c r="C36" i="7"/>
  <c r="K36" i="7"/>
  <c r="E37" i="7"/>
  <c r="M37" i="7"/>
  <c r="G38" i="7"/>
  <c r="I39" i="7"/>
  <c r="C40" i="7"/>
  <c r="K40" i="7"/>
  <c r="E41" i="7"/>
  <c r="M41" i="7"/>
  <c r="G42" i="7"/>
  <c r="I43" i="7"/>
  <c r="C44" i="7"/>
  <c r="K44" i="7"/>
  <c r="E45" i="7"/>
  <c r="M45" i="7"/>
  <c r="G46" i="7"/>
  <c r="I47" i="7"/>
  <c r="C48" i="7"/>
  <c r="K48" i="7"/>
  <c r="E49" i="7"/>
  <c r="M49" i="7"/>
  <c r="H50" i="7"/>
  <c r="C51" i="7"/>
  <c r="L51" i="7"/>
  <c r="E53" i="7"/>
  <c r="D29" i="5"/>
  <c r="C30" i="5"/>
  <c r="I129" i="7"/>
  <c r="I125" i="7"/>
  <c r="I130" i="7"/>
  <c r="I126" i="7"/>
  <c r="I122" i="7"/>
  <c r="I118" i="7"/>
  <c r="I114" i="7"/>
  <c r="I110" i="7"/>
  <c r="I106" i="7"/>
  <c r="I102" i="7"/>
  <c r="I131" i="7"/>
  <c r="I127" i="7"/>
  <c r="I123" i="7"/>
  <c r="I119" i="7"/>
  <c r="I115" i="7"/>
  <c r="I111" i="7"/>
  <c r="I107" i="7"/>
  <c r="I103" i="7"/>
  <c r="I132" i="7"/>
  <c r="I128" i="7"/>
  <c r="I124" i="7"/>
  <c r="I120" i="7"/>
  <c r="I116" i="7"/>
  <c r="I112" i="7"/>
  <c r="I108" i="7"/>
  <c r="I113" i="7"/>
  <c r="I99" i="7"/>
  <c r="I95" i="7"/>
  <c r="I91" i="7"/>
  <c r="I87" i="7"/>
  <c r="I83" i="7"/>
  <c r="I79" i="7"/>
  <c r="I75" i="7"/>
  <c r="I71" i="7"/>
  <c r="I67" i="7"/>
  <c r="I63" i="7"/>
  <c r="I59" i="7"/>
  <c r="I117" i="7"/>
  <c r="I100" i="7"/>
  <c r="I96" i="7"/>
  <c r="I92" i="7"/>
  <c r="I88" i="7"/>
  <c r="I84" i="7"/>
  <c r="I80" i="7"/>
  <c r="I76" i="7"/>
  <c r="I72" i="7"/>
  <c r="I68" i="7"/>
  <c r="I64" i="7"/>
  <c r="I60" i="7"/>
  <c r="I56" i="7"/>
  <c r="I121" i="7"/>
  <c r="I104" i="7"/>
  <c r="I101" i="7"/>
  <c r="I97" i="7"/>
  <c r="I93" i="7"/>
  <c r="I89" i="7"/>
  <c r="I85" i="7"/>
  <c r="I81" i="7"/>
  <c r="I77" i="7"/>
  <c r="I73" i="7"/>
  <c r="I69" i="7"/>
  <c r="I65" i="7"/>
  <c r="I61" i="7"/>
  <c r="I57" i="7"/>
  <c r="I109" i="7"/>
  <c r="I105" i="7"/>
  <c r="I98" i="7"/>
  <c r="I94" i="7"/>
  <c r="I90" i="7"/>
  <c r="I86" i="7"/>
  <c r="I82" i="7"/>
  <c r="I78" i="7"/>
  <c r="I74" i="7"/>
  <c r="I70" i="7"/>
  <c r="I66" i="7"/>
  <c r="I62" i="7"/>
  <c r="I58" i="7"/>
  <c r="H10" i="7"/>
  <c r="N10" i="7" s="1"/>
  <c r="J11" i="7"/>
  <c r="D12" i="7"/>
  <c r="L12" i="7"/>
  <c r="F13" i="7"/>
  <c r="H14" i="7"/>
  <c r="J15" i="7"/>
  <c r="D16" i="7"/>
  <c r="L16" i="7"/>
  <c r="F17" i="7"/>
  <c r="H18" i="7"/>
  <c r="J19" i="7"/>
  <c r="D20" i="7"/>
  <c r="L20" i="7"/>
  <c r="F21" i="7"/>
  <c r="H22" i="7"/>
  <c r="J23" i="7"/>
  <c r="D24" i="7"/>
  <c r="L24" i="7"/>
  <c r="F25" i="7"/>
  <c r="H26" i="7"/>
  <c r="J27" i="7"/>
  <c r="D28" i="7"/>
  <c r="L28" i="7"/>
  <c r="F29" i="7"/>
  <c r="H30" i="7"/>
  <c r="J31" i="7"/>
  <c r="D32" i="7"/>
  <c r="L32" i="7"/>
  <c r="F33" i="7"/>
  <c r="H34" i="7"/>
  <c r="J35" i="7"/>
  <c r="D36" i="7"/>
  <c r="L36" i="7"/>
  <c r="F37" i="7"/>
  <c r="H38" i="7"/>
  <c r="J39" i="7"/>
  <c r="D40" i="7"/>
  <c r="L40" i="7"/>
  <c r="F41" i="7"/>
  <c r="H42" i="7"/>
  <c r="J43" i="7"/>
  <c r="D44" i="7"/>
  <c r="L44" i="7"/>
  <c r="F45" i="7"/>
  <c r="H46" i="7"/>
  <c r="J47" i="7"/>
  <c r="D48" i="7"/>
  <c r="L48" i="7"/>
  <c r="F49" i="7"/>
  <c r="I50" i="7"/>
  <c r="D51" i="7"/>
  <c r="M51" i="7"/>
  <c r="F53" i="7"/>
  <c r="C54" i="7"/>
  <c r="D30" i="5"/>
  <c r="J129" i="7"/>
  <c r="J125" i="7"/>
  <c r="J121" i="7"/>
  <c r="J117" i="7"/>
  <c r="J113" i="7"/>
  <c r="J109" i="7"/>
  <c r="J105" i="7"/>
  <c r="J130" i="7"/>
  <c r="J126" i="7"/>
  <c r="J122" i="7"/>
  <c r="J118" i="7"/>
  <c r="J114" i="7"/>
  <c r="J110" i="7"/>
  <c r="J106" i="7"/>
  <c r="J131" i="7"/>
  <c r="J127" i="7"/>
  <c r="J123" i="7"/>
  <c r="J119" i="7"/>
  <c r="J115" i="7"/>
  <c r="J111" i="7"/>
  <c r="J107" i="7"/>
  <c r="J132" i="7"/>
  <c r="J128" i="7"/>
  <c r="J124" i="7"/>
  <c r="J120" i="7"/>
  <c r="J116" i="7"/>
  <c r="J112" i="7"/>
  <c r="J108" i="7"/>
  <c r="J104" i="7"/>
  <c r="J99" i="7"/>
  <c r="J95" i="7"/>
  <c r="J91" i="7"/>
  <c r="J87" i="7"/>
  <c r="J83" i="7"/>
  <c r="J79" i="7"/>
  <c r="J75" i="7"/>
  <c r="J71" i="7"/>
  <c r="J67" i="7"/>
  <c r="J63" i="7"/>
  <c r="J59" i="7"/>
  <c r="J55" i="7"/>
  <c r="J102" i="7"/>
  <c r="J100" i="7"/>
  <c r="J96" i="7"/>
  <c r="J92" i="7"/>
  <c r="J88" i="7"/>
  <c r="J84" i="7"/>
  <c r="J80" i="7"/>
  <c r="J76" i="7"/>
  <c r="J72" i="7"/>
  <c r="J68" i="7"/>
  <c r="J64" i="7"/>
  <c r="J60" i="7"/>
  <c r="J56" i="7"/>
  <c r="J101" i="7"/>
  <c r="J97" i="7"/>
  <c r="J93" i="7"/>
  <c r="J89" i="7"/>
  <c r="J85" i="7"/>
  <c r="J81" i="7"/>
  <c r="J77" i="7"/>
  <c r="J73" i="7"/>
  <c r="J69" i="7"/>
  <c r="J65" i="7"/>
  <c r="J61" i="7"/>
  <c r="J57" i="7"/>
  <c r="J53" i="7"/>
  <c r="J103" i="7"/>
  <c r="J98" i="7"/>
  <c r="J94" i="7"/>
  <c r="J90" i="7"/>
  <c r="J86" i="7"/>
  <c r="J82" i="7"/>
  <c r="J78" i="7"/>
  <c r="J74" i="7"/>
  <c r="J70" i="7"/>
  <c r="J66" i="7"/>
  <c r="J62" i="7"/>
  <c r="J58" i="7"/>
  <c r="J54" i="7"/>
  <c r="F9" i="7"/>
  <c r="C11" i="7"/>
  <c r="K11" i="7"/>
  <c r="G13" i="7"/>
  <c r="I14" i="7"/>
  <c r="C15" i="7"/>
  <c r="K15" i="7"/>
  <c r="E16" i="7"/>
  <c r="M16" i="7"/>
  <c r="G17" i="7"/>
  <c r="I18" i="7"/>
  <c r="C19" i="7"/>
  <c r="K19" i="7"/>
  <c r="E20" i="7"/>
  <c r="M20" i="7"/>
  <c r="G21" i="7"/>
  <c r="I22" i="7"/>
  <c r="C23" i="7"/>
  <c r="K23" i="7"/>
  <c r="E24" i="7"/>
  <c r="M24" i="7"/>
  <c r="G25" i="7"/>
  <c r="I26" i="7"/>
  <c r="C27" i="7"/>
  <c r="K27" i="7"/>
  <c r="E28" i="7"/>
  <c r="M28" i="7"/>
  <c r="G29" i="7"/>
  <c r="I30" i="7"/>
  <c r="C31" i="7"/>
  <c r="K31" i="7"/>
  <c r="E32" i="7"/>
  <c r="M32" i="7"/>
  <c r="G33" i="7"/>
  <c r="I34" i="7"/>
  <c r="C35" i="7"/>
  <c r="K35" i="7"/>
  <c r="E36" i="7"/>
  <c r="M36" i="7"/>
  <c r="G37" i="7"/>
  <c r="I38" i="7"/>
  <c r="C39" i="7"/>
  <c r="K39" i="7"/>
  <c r="E40" i="7"/>
  <c r="M40" i="7"/>
  <c r="G41" i="7"/>
  <c r="I42" i="7"/>
  <c r="C43" i="7"/>
  <c r="K43" i="7"/>
  <c r="E44" i="7"/>
  <c r="M44" i="7"/>
  <c r="G45" i="7"/>
  <c r="I46" i="7"/>
  <c r="C47" i="7"/>
  <c r="K47" i="7"/>
  <c r="E48" i="7"/>
  <c r="M48" i="7"/>
  <c r="G49" i="7"/>
  <c r="J50" i="7"/>
  <c r="E51" i="7"/>
  <c r="G53" i="7"/>
  <c r="F54" i="7"/>
  <c r="C55" i="7"/>
  <c r="C130" i="7"/>
  <c r="C126" i="7"/>
  <c r="C131" i="7"/>
  <c r="C127" i="7"/>
  <c r="C123" i="7"/>
  <c r="C119" i="7"/>
  <c r="C115" i="7"/>
  <c r="C111" i="7"/>
  <c r="C107" i="7"/>
  <c r="C103" i="7"/>
  <c r="C132" i="7"/>
  <c r="C128" i="7"/>
  <c r="C124" i="7"/>
  <c r="C120" i="7"/>
  <c r="C116" i="7"/>
  <c r="C112" i="7"/>
  <c r="C108" i="7"/>
  <c r="C104" i="7"/>
  <c r="C129" i="7"/>
  <c r="C125" i="7"/>
  <c r="C121" i="7"/>
  <c r="C117" i="7"/>
  <c r="C113" i="7"/>
  <c r="C109" i="7"/>
  <c r="C118" i="7"/>
  <c r="C105" i="7"/>
  <c r="C100" i="7"/>
  <c r="C96" i="7"/>
  <c r="C92" i="7"/>
  <c r="C88" i="7"/>
  <c r="C84" i="7"/>
  <c r="C80" i="7"/>
  <c r="C76" i="7"/>
  <c r="C72" i="7"/>
  <c r="C68" i="7"/>
  <c r="C64" i="7"/>
  <c r="C60" i="7"/>
  <c r="C122" i="7"/>
  <c r="C106" i="7"/>
  <c r="C101" i="7"/>
  <c r="C97" i="7"/>
  <c r="C93" i="7"/>
  <c r="C89" i="7"/>
  <c r="C85" i="7"/>
  <c r="C81" i="7"/>
  <c r="C77" i="7"/>
  <c r="C73" i="7"/>
  <c r="C69" i="7"/>
  <c r="C65" i="7"/>
  <c r="C61" i="7"/>
  <c r="C57" i="7"/>
  <c r="C53" i="7"/>
  <c r="C110" i="7"/>
  <c r="C98" i="7"/>
  <c r="C94" i="7"/>
  <c r="C90" i="7"/>
  <c r="C86" i="7"/>
  <c r="C82" i="7"/>
  <c r="C78" i="7"/>
  <c r="C74" i="7"/>
  <c r="C70" i="7"/>
  <c r="C66" i="7"/>
  <c r="C62" i="7"/>
  <c r="C58" i="7"/>
  <c r="C114" i="7"/>
  <c r="C102" i="7"/>
  <c r="C99" i="7"/>
  <c r="C95" i="7"/>
  <c r="C91" i="7"/>
  <c r="C87" i="7"/>
  <c r="C83" i="7"/>
  <c r="C79" i="7"/>
  <c r="C75" i="7"/>
  <c r="C71" i="7"/>
  <c r="C67" i="7"/>
  <c r="C63" i="7"/>
  <c r="C59" i="7"/>
  <c r="K130" i="7"/>
  <c r="K126" i="7"/>
  <c r="K131" i="7"/>
  <c r="K127" i="7"/>
  <c r="K123" i="7"/>
  <c r="K119" i="7"/>
  <c r="K115" i="7"/>
  <c r="K111" i="7"/>
  <c r="K107" i="7"/>
  <c r="K103" i="7"/>
  <c r="K132" i="7"/>
  <c r="K128" i="7"/>
  <c r="K124" i="7"/>
  <c r="K120" i="7"/>
  <c r="K116" i="7"/>
  <c r="K112" i="7"/>
  <c r="K108" i="7"/>
  <c r="K104" i="7"/>
  <c r="K129" i="7"/>
  <c r="K125" i="7"/>
  <c r="K121" i="7"/>
  <c r="K117" i="7"/>
  <c r="K113" i="7"/>
  <c r="K109" i="7"/>
  <c r="K105" i="7"/>
  <c r="K102" i="7"/>
  <c r="K122" i="7"/>
  <c r="K106" i="7"/>
  <c r="K100" i="7"/>
  <c r="K96" i="7"/>
  <c r="K92" i="7"/>
  <c r="K88" i="7"/>
  <c r="K84" i="7"/>
  <c r="K80" i="7"/>
  <c r="K76" i="7"/>
  <c r="K72" i="7"/>
  <c r="K68" i="7"/>
  <c r="K64" i="7"/>
  <c r="K60" i="7"/>
  <c r="K56" i="7"/>
  <c r="K110" i="7"/>
  <c r="K101" i="7"/>
  <c r="K97" i="7"/>
  <c r="K93" i="7"/>
  <c r="K89" i="7"/>
  <c r="K85" i="7"/>
  <c r="K81" i="7"/>
  <c r="K77" i="7"/>
  <c r="K73" i="7"/>
  <c r="K69" i="7"/>
  <c r="K65" i="7"/>
  <c r="K61" i="7"/>
  <c r="K57" i="7"/>
  <c r="K53" i="7"/>
  <c r="K114" i="7"/>
  <c r="K98" i="7"/>
  <c r="K94" i="7"/>
  <c r="K90" i="7"/>
  <c r="K86" i="7"/>
  <c r="K82" i="7"/>
  <c r="K78" i="7"/>
  <c r="K74" i="7"/>
  <c r="K70" i="7"/>
  <c r="K66" i="7"/>
  <c r="K62" i="7"/>
  <c r="K58" i="7"/>
  <c r="K118" i="7"/>
  <c r="K99" i="7"/>
  <c r="K95" i="7"/>
  <c r="K91" i="7"/>
  <c r="K87" i="7"/>
  <c r="K83" i="7"/>
  <c r="K79" i="7"/>
  <c r="K75" i="7"/>
  <c r="K71" i="7"/>
  <c r="K67" i="7"/>
  <c r="K63" i="7"/>
  <c r="K59" i="7"/>
  <c r="J10" i="7"/>
  <c r="D11" i="7"/>
  <c r="L11" i="7"/>
  <c r="F12" i="7"/>
  <c r="H13" i="7"/>
  <c r="J14" i="7"/>
  <c r="D15" i="7"/>
  <c r="L15" i="7"/>
  <c r="F16" i="7"/>
  <c r="H17" i="7"/>
  <c r="J18" i="7"/>
  <c r="D19" i="7"/>
  <c r="L19" i="7"/>
  <c r="F20" i="7"/>
  <c r="H21" i="7"/>
  <c r="J22" i="7"/>
  <c r="D23" i="7"/>
  <c r="L23" i="7"/>
  <c r="F24" i="7"/>
  <c r="H25" i="7"/>
  <c r="J26" i="7"/>
  <c r="D27" i="7"/>
  <c r="L27" i="7"/>
  <c r="F28" i="7"/>
  <c r="H29" i="7"/>
  <c r="J30" i="7"/>
  <c r="D31" i="7"/>
  <c r="L31" i="7"/>
  <c r="F32" i="7"/>
  <c r="H33" i="7"/>
  <c r="J34" i="7"/>
  <c r="D35" i="7"/>
  <c r="L35" i="7"/>
  <c r="F36" i="7"/>
  <c r="H37" i="7"/>
  <c r="J38" i="7"/>
  <c r="D39" i="7"/>
  <c r="L39" i="7"/>
  <c r="F40" i="7"/>
  <c r="H41" i="7"/>
  <c r="J42" i="7"/>
  <c r="D43" i="7"/>
  <c r="L43" i="7"/>
  <c r="F44" i="7"/>
  <c r="H45" i="7"/>
  <c r="J46" i="7"/>
  <c r="L47" i="7"/>
  <c r="F48" i="7"/>
  <c r="H49" i="7"/>
  <c r="K50" i="7"/>
  <c r="G51" i="7"/>
  <c r="I53" i="7"/>
  <c r="G54" i="7"/>
  <c r="E55" i="7"/>
  <c r="E56" i="7"/>
  <c r="F30" i="5"/>
  <c r="D130" i="7"/>
  <c r="D126" i="7"/>
  <c r="D122" i="7"/>
  <c r="D118" i="7"/>
  <c r="D114" i="7"/>
  <c r="D110" i="7"/>
  <c r="D106" i="7"/>
  <c r="D131" i="7"/>
  <c r="D127" i="7"/>
  <c r="D123" i="7"/>
  <c r="D119" i="7"/>
  <c r="D115" i="7"/>
  <c r="D111" i="7"/>
  <c r="D107" i="7"/>
  <c r="D132" i="7"/>
  <c r="D128" i="7"/>
  <c r="D124" i="7"/>
  <c r="D120" i="7"/>
  <c r="D116" i="7"/>
  <c r="D112" i="7"/>
  <c r="D108" i="7"/>
  <c r="D129" i="7"/>
  <c r="D125" i="7"/>
  <c r="D121" i="7"/>
  <c r="D117" i="7"/>
  <c r="D113" i="7"/>
  <c r="D109" i="7"/>
  <c r="D105" i="7"/>
  <c r="D104" i="7"/>
  <c r="D100" i="7"/>
  <c r="D96" i="7"/>
  <c r="D92" i="7"/>
  <c r="D88" i="7"/>
  <c r="D84" i="7"/>
  <c r="D80" i="7"/>
  <c r="D76" i="7"/>
  <c r="D72" i="7"/>
  <c r="D68" i="7"/>
  <c r="D64" i="7"/>
  <c r="D60" i="7"/>
  <c r="D56" i="7"/>
  <c r="D103" i="7"/>
  <c r="D101" i="7"/>
  <c r="D97" i="7"/>
  <c r="D93" i="7"/>
  <c r="D89" i="7"/>
  <c r="D85" i="7"/>
  <c r="D81" i="7"/>
  <c r="D77" i="7"/>
  <c r="D73" i="7"/>
  <c r="D69" i="7"/>
  <c r="D65" i="7"/>
  <c r="D61" i="7"/>
  <c r="D57" i="7"/>
  <c r="D98" i="7"/>
  <c r="D94" i="7"/>
  <c r="D90" i="7"/>
  <c r="D86" i="7"/>
  <c r="D82" i="7"/>
  <c r="D78" i="7"/>
  <c r="D74" i="7"/>
  <c r="D70" i="7"/>
  <c r="D66" i="7"/>
  <c r="D62" i="7"/>
  <c r="D58" i="7"/>
  <c r="D54" i="7"/>
  <c r="D50" i="7"/>
  <c r="D102" i="7"/>
  <c r="D99" i="7"/>
  <c r="D95" i="7"/>
  <c r="D91" i="7"/>
  <c r="D87" i="7"/>
  <c r="D83" i="7"/>
  <c r="D79" i="7"/>
  <c r="D75" i="7"/>
  <c r="D71" i="7"/>
  <c r="D67" i="7"/>
  <c r="D63" i="7"/>
  <c r="D59" i="7"/>
  <c r="D55" i="7"/>
  <c r="L130" i="7"/>
  <c r="L126" i="7"/>
  <c r="L122" i="7"/>
  <c r="L118" i="7"/>
  <c r="L114" i="7"/>
  <c r="L110" i="7"/>
  <c r="L106" i="7"/>
  <c r="L131" i="7"/>
  <c r="L127" i="7"/>
  <c r="L123" i="7"/>
  <c r="L119" i="7"/>
  <c r="L115" i="7"/>
  <c r="L111" i="7"/>
  <c r="L107" i="7"/>
  <c r="L103" i="7"/>
  <c r="L132" i="7"/>
  <c r="L128" i="7"/>
  <c r="L124" i="7"/>
  <c r="L120" i="7"/>
  <c r="L116" i="7"/>
  <c r="L112" i="7"/>
  <c r="L108" i="7"/>
  <c r="L129" i="7"/>
  <c r="L125" i="7"/>
  <c r="L121" i="7"/>
  <c r="L117" i="7"/>
  <c r="L113" i="7"/>
  <c r="L109" i="7"/>
  <c r="L105" i="7"/>
  <c r="L100" i="7"/>
  <c r="L96" i="7"/>
  <c r="L92" i="7"/>
  <c r="L88" i="7"/>
  <c r="L84" i="7"/>
  <c r="L80" i="7"/>
  <c r="L76" i="7"/>
  <c r="L72" i="7"/>
  <c r="L68" i="7"/>
  <c r="L64" i="7"/>
  <c r="L60" i="7"/>
  <c r="L56" i="7"/>
  <c r="L101" i="7"/>
  <c r="L97" i="7"/>
  <c r="L93" i="7"/>
  <c r="L89" i="7"/>
  <c r="L85" i="7"/>
  <c r="L81" i="7"/>
  <c r="L77" i="7"/>
  <c r="L73" i="7"/>
  <c r="L69" i="7"/>
  <c r="L65" i="7"/>
  <c r="L61" i="7"/>
  <c r="L57" i="7"/>
  <c r="L104" i="7"/>
  <c r="L98" i="7"/>
  <c r="L94" i="7"/>
  <c r="L90" i="7"/>
  <c r="L86" i="7"/>
  <c r="L82" i="7"/>
  <c r="L78" i="7"/>
  <c r="L74" i="7"/>
  <c r="L70" i="7"/>
  <c r="L66" i="7"/>
  <c r="L62" i="7"/>
  <c r="L58" i="7"/>
  <c r="L54" i="7"/>
  <c r="L50" i="7"/>
  <c r="L99" i="7"/>
  <c r="L95" i="7"/>
  <c r="L91" i="7"/>
  <c r="L87" i="7"/>
  <c r="L83" i="7"/>
  <c r="L79" i="7"/>
  <c r="L75" i="7"/>
  <c r="L71" i="7"/>
  <c r="L67" i="7"/>
  <c r="L63" i="7"/>
  <c r="L59" i="7"/>
  <c r="L55" i="7"/>
  <c r="L102" i="7"/>
  <c r="C10" i="7"/>
  <c r="K10" i="7"/>
  <c r="I13" i="7"/>
  <c r="C14" i="7"/>
  <c r="K14" i="7"/>
  <c r="E15" i="7"/>
  <c r="M15" i="7"/>
  <c r="G16" i="7"/>
  <c r="I17" i="7"/>
  <c r="C18" i="7"/>
  <c r="K18" i="7"/>
  <c r="E19" i="7"/>
  <c r="M19" i="7"/>
  <c r="G20" i="7"/>
  <c r="I21" i="7"/>
  <c r="C22" i="7"/>
  <c r="K22" i="7"/>
  <c r="E23" i="7"/>
  <c r="M23" i="7"/>
  <c r="G24" i="7"/>
  <c r="I25" i="7"/>
  <c r="C26" i="7"/>
  <c r="K26" i="7"/>
  <c r="E27" i="7"/>
  <c r="M27" i="7"/>
  <c r="G28" i="7"/>
  <c r="I29" i="7"/>
  <c r="C30" i="7"/>
  <c r="K30" i="7"/>
  <c r="E31" i="7"/>
  <c r="M31" i="7"/>
  <c r="G32" i="7"/>
  <c r="I33" i="7"/>
  <c r="C34" i="7"/>
  <c r="K34" i="7"/>
  <c r="E35" i="7"/>
  <c r="M35" i="7"/>
  <c r="G36" i="7"/>
  <c r="I37" i="7"/>
  <c r="C38" i="7"/>
  <c r="K38" i="7"/>
  <c r="E39" i="7"/>
  <c r="M39" i="7"/>
  <c r="G40" i="7"/>
  <c r="I41" i="7"/>
  <c r="C42" i="7"/>
  <c r="K42" i="7"/>
  <c r="E43" i="7"/>
  <c r="M43" i="7"/>
  <c r="G44" i="7"/>
  <c r="I45" i="7"/>
  <c r="C46" i="7"/>
  <c r="K46" i="7"/>
  <c r="M47" i="7"/>
  <c r="G48" i="7"/>
  <c r="I49" i="7"/>
  <c r="C50" i="7"/>
  <c r="M50" i="7"/>
  <c r="H51" i="7"/>
  <c r="C52" i="7"/>
  <c r="M52" i="7"/>
  <c r="L53" i="7"/>
  <c r="H54" i="7"/>
  <c r="H55" i="7"/>
  <c r="G30" i="5"/>
  <c r="E131" i="7"/>
  <c r="E127" i="7"/>
  <c r="E132" i="7"/>
  <c r="E128" i="7"/>
  <c r="E124" i="7"/>
  <c r="E120" i="7"/>
  <c r="E116" i="7"/>
  <c r="E112" i="7"/>
  <c r="E108" i="7"/>
  <c r="E104" i="7"/>
  <c r="E129" i="7"/>
  <c r="E125" i="7"/>
  <c r="E121" i="7"/>
  <c r="E117" i="7"/>
  <c r="E113" i="7"/>
  <c r="E109" i="7"/>
  <c r="E105" i="7"/>
  <c r="E130" i="7"/>
  <c r="E126" i="7"/>
  <c r="E122" i="7"/>
  <c r="E118" i="7"/>
  <c r="E114" i="7"/>
  <c r="E110" i="7"/>
  <c r="E106" i="7"/>
  <c r="E111" i="7"/>
  <c r="E103" i="7"/>
  <c r="E101" i="7"/>
  <c r="E97" i="7"/>
  <c r="E93" i="7"/>
  <c r="E89" i="7"/>
  <c r="E85" i="7"/>
  <c r="E81" i="7"/>
  <c r="E77" i="7"/>
  <c r="E73" i="7"/>
  <c r="E69" i="7"/>
  <c r="E65" i="7"/>
  <c r="E61" i="7"/>
  <c r="E57" i="7"/>
  <c r="E115" i="7"/>
  <c r="E98" i="7"/>
  <c r="E94" i="7"/>
  <c r="E90" i="7"/>
  <c r="E86" i="7"/>
  <c r="E82" i="7"/>
  <c r="E78" i="7"/>
  <c r="E74" i="7"/>
  <c r="E70" i="7"/>
  <c r="E66" i="7"/>
  <c r="E62" i="7"/>
  <c r="E58" i="7"/>
  <c r="E54" i="7"/>
  <c r="E119" i="7"/>
  <c r="E102" i="7"/>
  <c r="E99" i="7"/>
  <c r="E95" i="7"/>
  <c r="E91" i="7"/>
  <c r="E87" i="7"/>
  <c r="E83" i="7"/>
  <c r="E79" i="7"/>
  <c r="E75" i="7"/>
  <c r="E71" i="7"/>
  <c r="E67" i="7"/>
  <c r="E63" i="7"/>
  <c r="E59" i="7"/>
  <c r="E123" i="7"/>
  <c r="E107" i="7"/>
  <c r="E100" i="7"/>
  <c r="E96" i="7"/>
  <c r="E92" i="7"/>
  <c r="E88" i="7"/>
  <c r="E84" i="7"/>
  <c r="E80" i="7"/>
  <c r="E76" i="7"/>
  <c r="E72" i="7"/>
  <c r="E68" i="7"/>
  <c r="E64" i="7"/>
  <c r="E60" i="7"/>
  <c r="M131" i="7"/>
  <c r="M127" i="7"/>
  <c r="M132" i="7"/>
  <c r="M128" i="7"/>
  <c r="M124" i="7"/>
  <c r="M120" i="7"/>
  <c r="M116" i="7"/>
  <c r="M112" i="7"/>
  <c r="M108" i="7"/>
  <c r="M104" i="7"/>
  <c r="M129" i="7"/>
  <c r="M125" i="7"/>
  <c r="M121" i="7"/>
  <c r="M117" i="7"/>
  <c r="M113" i="7"/>
  <c r="M109" i="7"/>
  <c r="M105" i="7"/>
  <c r="M101" i="7"/>
  <c r="M130" i="7"/>
  <c r="M126" i="7"/>
  <c r="M122" i="7"/>
  <c r="M118" i="7"/>
  <c r="M114" i="7"/>
  <c r="M110" i="7"/>
  <c r="M106" i="7"/>
  <c r="M115" i="7"/>
  <c r="M97" i="7"/>
  <c r="M93" i="7"/>
  <c r="M89" i="7"/>
  <c r="M85" i="7"/>
  <c r="M81" i="7"/>
  <c r="M77" i="7"/>
  <c r="M73" i="7"/>
  <c r="M69" i="7"/>
  <c r="M65" i="7"/>
  <c r="M61" i="7"/>
  <c r="M57" i="7"/>
  <c r="M119" i="7"/>
  <c r="M98" i="7"/>
  <c r="M94" i="7"/>
  <c r="M90" i="7"/>
  <c r="M86" i="7"/>
  <c r="M82" i="7"/>
  <c r="M78" i="7"/>
  <c r="M74" i="7"/>
  <c r="M70" i="7"/>
  <c r="M66" i="7"/>
  <c r="M62" i="7"/>
  <c r="M58" i="7"/>
  <c r="M54" i="7"/>
  <c r="M103" i="7"/>
  <c r="M123" i="7"/>
  <c r="M107" i="7"/>
  <c r="M99" i="7"/>
  <c r="M95" i="7"/>
  <c r="M91" i="7"/>
  <c r="M87" i="7"/>
  <c r="M83" i="7"/>
  <c r="M79" i="7"/>
  <c r="M75" i="7"/>
  <c r="M71" i="7"/>
  <c r="M67" i="7"/>
  <c r="M63" i="7"/>
  <c r="M59" i="7"/>
  <c r="M102" i="7"/>
  <c r="M111" i="7"/>
  <c r="M100" i="7"/>
  <c r="M96" i="7"/>
  <c r="M92" i="7"/>
  <c r="M88" i="7"/>
  <c r="M84" i="7"/>
  <c r="M80" i="7"/>
  <c r="M76" i="7"/>
  <c r="M72" i="7"/>
  <c r="M68" i="7"/>
  <c r="M64" i="7"/>
  <c r="M60" i="7"/>
  <c r="I9" i="7"/>
  <c r="N9" i="7" s="1"/>
  <c r="D10" i="7"/>
  <c r="L10" i="7"/>
  <c r="F11" i="7"/>
  <c r="H12" i="7"/>
  <c r="N12" i="7" s="1"/>
  <c r="J13" i="7"/>
  <c r="D14" i="7"/>
  <c r="L14" i="7"/>
  <c r="F15" i="7"/>
  <c r="H16" i="7"/>
  <c r="J17" i="7"/>
  <c r="D18" i="7"/>
  <c r="L18" i="7"/>
  <c r="F19" i="7"/>
  <c r="H20" i="7"/>
  <c r="J21" i="7"/>
  <c r="D22" i="7"/>
  <c r="L22" i="7"/>
  <c r="F23" i="7"/>
  <c r="H24" i="7"/>
  <c r="J25" i="7"/>
  <c r="D26" i="7"/>
  <c r="L26" i="7"/>
  <c r="F27" i="7"/>
  <c r="H28" i="7"/>
  <c r="J29" i="7"/>
  <c r="D30" i="7"/>
  <c r="L30" i="7"/>
  <c r="F31" i="7"/>
  <c r="H32" i="7"/>
  <c r="J33" i="7"/>
  <c r="D34" i="7"/>
  <c r="L34" i="7"/>
  <c r="F35" i="7"/>
  <c r="H36" i="7"/>
  <c r="J37" i="7"/>
  <c r="D38" i="7"/>
  <c r="L38" i="7"/>
  <c r="F39" i="7"/>
  <c r="H40" i="7"/>
  <c r="J41" i="7"/>
  <c r="D42" i="7"/>
  <c r="L42" i="7"/>
  <c r="F43" i="7"/>
  <c r="H44" i="7"/>
  <c r="J45" i="7"/>
  <c r="D46" i="7"/>
  <c r="L46" i="7"/>
  <c r="H48" i="7"/>
  <c r="J49" i="7"/>
  <c r="E50" i="7"/>
  <c r="I51" i="7"/>
  <c r="D52" i="7"/>
  <c r="M53" i="7"/>
  <c r="I54" i="7"/>
  <c r="I55" i="7"/>
  <c r="F131" i="7"/>
  <c r="F127" i="7"/>
  <c r="F123" i="7"/>
  <c r="F119" i="7"/>
  <c r="F115" i="7"/>
  <c r="F111" i="7"/>
  <c r="F107" i="7"/>
  <c r="F132" i="7"/>
  <c r="F128" i="7"/>
  <c r="F124" i="7"/>
  <c r="F120" i="7"/>
  <c r="F116" i="7"/>
  <c r="F112" i="7"/>
  <c r="F108" i="7"/>
  <c r="F104" i="7"/>
  <c r="F129" i="7"/>
  <c r="F125" i="7"/>
  <c r="F121" i="7"/>
  <c r="F117" i="7"/>
  <c r="F113" i="7"/>
  <c r="F109" i="7"/>
  <c r="F130" i="7"/>
  <c r="F126" i="7"/>
  <c r="F122" i="7"/>
  <c r="F118" i="7"/>
  <c r="F114" i="7"/>
  <c r="F110" i="7"/>
  <c r="F106" i="7"/>
  <c r="F105" i="7"/>
  <c r="F103" i="7"/>
  <c r="F101" i="7"/>
  <c r="F97" i="7"/>
  <c r="F93" i="7"/>
  <c r="F89" i="7"/>
  <c r="F85" i="7"/>
  <c r="F81" i="7"/>
  <c r="F77" i="7"/>
  <c r="F73" i="7"/>
  <c r="F69" i="7"/>
  <c r="F65" i="7"/>
  <c r="F61" i="7"/>
  <c r="F57" i="7"/>
  <c r="F98" i="7"/>
  <c r="F94" i="7"/>
  <c r="F90" i="7"/>
  <c r="F86" i="7"/>
  <c r="F82" i="7"/>
  <c r="F78" i="7"/>
  <c r="F74" i="7"/>
  <c r="F70" i="7"/>
  <c r="F66" i="7"/>
  <c r="F62" i="7"/>
  <c r="F58" i="7"/>
  <c r="F102" i="7"/>
  <c r="F99" i="7"/>
  <c r="F95" i="7"/>
  <c r="F91" i="7"/>
  <c r="F87" i="7"/>
  <c r="F83" i="7"/>
  <c r="F79" i="7"/>
  <c r="F75" i="7"/>
  <c r="F71" i="7"/>
  <c r="F67" i="7"/>
  <c r="F63" i="7"/>
  <c r="F59" i="7"/>
  <c r="F55" i="7"/>
  <c r="F51" i="7"/>
  <c r="F100" i="7"/>
  <c r="F96" i="7"/>
  <c r="F92" i="7"/>
  <c r="F88" i="7"/>
  <c r="F84" i="7"/>
  <c r="F80" i="7"/>
  <c r="F76" i="7"/>
  <c r="F72" i="7"/>
  <c r="F68" i="7"/>
  <c r="F64" i="7"/>
  <c r="F60" i="7"/>
  <c r="F56" i="7"/>
  <c r="F52" i="7"/>
  <c r="C13" i="7"/>
  <c r="K13" i="7"/>
  <c r="G15" i="7"/>
  <c r="I16" i="7"/>
  <c r="C17" i="7"/>
  <c r="K17" i="7"/>
  <c r="E18" i="7"/>
  <c r="M18" i="7"/>
  <c r="G19" i="7"/>
  <c r="I20" i="7"/>
  <c r="C21" i="7"/>
  <c r="K21" i="7"/>
  <c r="E22" i="7"/>
  <c r="M22" i="7"/>
  <c r="G23" i="7"/>
  <c r="I24" i="7"/>
  <c r="C25" i="7"/>
  <c r="K25" i="7"/>
  <c r="E26" i="7"/>
  <c r="M26" i="7"/>
  <c r="G27" i="7"/>
  <c r="I28" i="7"/>
  <c r="C29" i="7"/>
  <c r="K29" i="7"/>
  <c r="E30" i="7"/>
  <c r="M30" i="7"/>
  <c r="G31" i="7"/>
  <c r="I32" i="7"/>
  <c r="C33" i="7"/>
  <c r="K33" i="7"/>
  <c r="E34" i="7"/>
  <c r="M34" i="7"/>
  <c r="G35" i="7"/>
  <c r="I36" i="7"/>
  <c r="C37" i="7"/>
  <c r="K37" i="7"/>
  <c r="E38" i="7"/>
  <c r="M38" i="7"/>
  <c r="G39" i="7"/>
  <c r="I40" i="7"/>
  <c r="C41" i="7"/>
  <c r="K41" i="7"/>
  <c r="E42" i="7"/>
  <c r="M42" i="7"/>
  <c r="G43" i="7"/>
  <c r="I44" i="7"/>
  <c r="C45" i="7"/>
  <c r="K45" i="7"/>
  <c r="E46" i="7"/>
  <c r="M46" i="7"/>
  <c r="I48" i="7"/>
  <c r="C49" i="7"/>
  <c r="K49" i="7"/>
  <c r="F50" i="7"/>
  <c r="J51" i="7"/>
  <c r="E52" i="7"/>
  <c r="K54" i="7"/>
  <c r="K55" i="7"/>
  <c r="G132" i="7"/>
  <c r="N132" i="7" s="1"/>
  <c r="G128" i="7"/>
  <c r="N128" i="7" s="1"/>
  <c r="G129" i="7"/>
  <c r="N129" i="7" s="1"/>
  <c r="G125" i="7"/>
  <c r="G121" i="7"/>
  <c r="N121" i="7" s="1"/>
  <c r="G117" i="7"/>
  <c r="G113" i="7"/>
  <c r="G109" i="7"/>
  <c r="N109" i="7" s="1"/>
  <c r="G105" i="7"/>
  <c r="G130" i="7"/>
  <c r="N130" i="7" s="1"/>
  <c r="G126" i="7"/>
  <c r="N126" i="7" s="1"/>
  <c r="G122" i="7"/>
  <c r="N122" i="7" s="1"/>
  <c r="G118" i="7"/>
  <c r="N118" i="7" s="1"/>
  <c r="G114" i="7"/>
  <c r="N114" i="7" s="1"/>
  <c r="G110" i="7"/>
  <c r="G106" i="7"/>
  <c r="N106" i="7" s="1"/>
  <c r="G102" i="7"/>
  <c r="G131" i="7"/>
  <c r="N131" i="7" s="1"/>
  <c r="G127" i="7"/>
  <c r="N127" i="7" s="1"/>
  <c r="G123" i="7"/>
  <c r="N123" i="7" s="1"/>
  <c r="G119" i="7"/>
  <c r="N119" i="7" s="1"/>
  <c r="G115" i="7"/>
  <c r="N115" i="7" s="1"/>
  <c r="G111" i="7"/>
  <c r="N111" i="7" s="1"/>
  <c r="G107" i="7"/>
  <c r="N107" i="7" s="1"/>
  <c r="G120" i="7"/>
  <c r="G98" i="7"/>
  <c r="G94" i="7"/>
  <c r="N94" i="7" s="1"/>
  <c r="G90" i="7"/>
  <c r="N90" i="7" s="1"/>
  <c r="G86" i="7"/>
  <c r="N86" i="7" s="1"/>
  <c r="G82" i="7"/>
  <c r="N82" i="7" s="1"/>
  <c r="G78" i="7"/>
  <c r="N78" i="7" s="1"/>
  <c r="G74" i="7"/>
  <c r="N74" i="7" s="1"/>
  <c r="G70" i="7"/>
  <c r="G66" i="7"/>
  <c r="G62" i="7"/>
  <c r="N62" i="7" s="1"/>
  <c r="G58" i="7"/>
  <c r="N58" i="7" s="1"/>
  <c r="G124" i="7"/>
  <c r="N124" i="7" s="1"/>
  <c r="G108" i="7"/>
  <c r="N108" i="7" s="1"/>
  <c r="G99" i="7"/>
  <c r="N99" i="7" s="1"/>
  <c r="G95" i="7"/>
  <c r="N95" i="7" s="1"/>
  <c r="G91" i="7"/>
  <c r="N91" i="7" s="1"/>
  <c r="G87" i="7"/>
  <c r="G83" i="7"/>
  <c r="N83" i="7" s="1"/>
  <c r="G79" i="7"/>
  <c r="N79" i="7" s="1"/>
  <c r="G75" i="7"/>
  <c r="N75" i="7" s="1"/>
  <c r="G71" i="7"/>
  <c r="N71" i="7" s="1"/>
  <c r="G67" i="7"/>
  <c r="N67" i="7" s="1"/>
  <c r="G63" i="7"/>
  <c r="N63" i="7" s="1"/>
  <c r="G59" i="7"/>
  <c r="N59" i="7" s="1"/>
  <c r="G55" i="7"/>
  <c r="G112" i="7"/>
  <c r="N112" i="7" s="1"/>
  <c r="G100" i="7"/>
  <c r="G96" i="7"/>
  <c r="N96" i="7" s="1"/>
  <c r="G92" i="7"/>
  <c r="N92" i="7" s="1"/>
  <c r="G88" i="7"/>
  <c r="G84" i="7"/>
  <c r="N84" i="7" s="1"/>
  <c r="G80" i="7"/>
  <c r="N80" i="7" s="1"/>
  <c r="G76" i="7"/>
  <c r="N76" i="7" s="1"/>
  <c r="G72" i="7"/>
  <c r="N72" i="7" s="1"/>
  <c r="G68" i="7"/>
  <c r="G64" i="7"/>
  <c r="N64" i="7" s="1"/>
  <c r="G60" i="7"/>
  <c r="N60" i="7" s="1"/>
  <c r="G56" i="7"/>
  <c r="G116" i="7"/>
  <c r="N116" i="7" s="1"/>
  <c r="G104" i="7"/>
  <c r="N104" i="7" s="1"/>
  <c r="G103" i="7"/>
  <c r="G101" i="7"/>
  <c r="N101" i="7" s="1"/>
  <c r="G97" i="7"/>
  <c r="G93" i="7"/>
  <c r="N93" i="7" s="1"/>
  <c r="G89" i="7"/>
  <c r="N89" i="7" s="1"/>
  <c r="G85" i="7"/>
  <c r="N85" i="7" s="1"/>
  <c r="G81" i="7"/>
  <c r="G77" i="7"/>
  <c r="N77" i="7" s="1"/>
  <c r="G73" i="7"/>
  <c r="N73" i="7" s="1"/>
  <c r="G69" i="7"/>
  <c r="N69" i="7" s="1"/>
  <c r="G65" i="7"/>
  <c r="G61" i="7"/>
  <c r="N61" i="7" s="1"/>
  <c r="C9" i="7"/>
  <c r="K9" i="7"/>
  <c r="F10" i="7"/>
  <c r="H11" i="7"/>
  <c r="N11" i="7" s="1"/>
  <c r="J12" i="7"/>
  <c r="D13" i="7"/>
  <c r="L13" i="7"/>
  <c r="F14" i="7"/>
  <c r="H15" i="7"/>
  <c r="J16" i="7"/>
  <c r="D17" i="7"/>
  <c r="L17" i="7"/>
  <c r="F18" i="7"/>
  <c r="H19" i="7"/>
  <c r="J20" i="7"/>
  <c r="D21" i="7"/>
  <c r="L21" i="7"/>
  <c r="F22" i="7"/>
  <c r="H23" i="7"/>
  <c r="J24" i="7"/>
  <c r="D25" i="7"/>
  <c r="L25" i="7"/>
  <c r="F26" i="7"/>
  <c r="H27" i="7"/>
  <c r="J28" i="7"/>
  <c r="D29" i="7"/>
  <c r="L29" i="7"/>
  <c r="F30" i="7"/>
  <c r="H31" i="7"/>
  <c r="J32" i="7"/>
  <c r="D33" i="7"/>
  <c r="L33" i="7"/>
  <c r="F34" i="7"/>
  <c r="H35" i="7"/>
  <c r="J36" i="7"/>
  <c r="D37" i="7"/>
  <c r="L37" i="7"/>
  <c r="F38" i="7"/>
  <c r="H39" i="7"/>
  <c r="J40" i="7"/>
  <c r="D41" i="7"/>
  <c r="L41" i="7"/>
  <c r="F42" i="7"/>
  <c r="H43" i="7"/>
  <c r="J44" i="7"/>
  <c r="D45" i="7"/>
  <c r="L45" i="7"/>
  <c r="F46" i="7"/>
  <c r="H47" i="7"/>
  <c r="N47" i="7" s="1"/>
  <c r="J48" i="7"/>
  <c r="D49" i="7"/>
  <c r="L49" i="7"/>
  <c r="G50" i="7"/>
  <c r="N50" i="7" s="1"/>
  <c r="K51" i="7"/>
  <c r="G52" i="7"/>
  <c r="N52" i="7" s="1"/>
  <c r="D53" i="7"/>
  <c r="M55" i="7"/>
  <c r="G57" i="7"/>
  <c r="N57" i="7" s="1"/>
  <c r="D14" i="8"/>
  <c r="S14" i="8" s="1"/>
  <c r="D18" i="8"/>
  <c r="S18" i="8" s="1"/>
  <c r="D22" i="8"/>
  <c r="S22" i="8" s="1"/>
  <c r="D26" i="8"/>
  <c r="S26" i="8" s="1"/>
  <c r="D30" i="8"/>
  <c r="S30" i="8" s="1"/>
  <c r="D13" i="8"/>
  <c r="S13" i="8" s="1"/>
  <c r="D17" i="8"/>
  <c r="S17" i="8" s="1"/>
  <c r="D21" i="8"/>
  <c r="S21" i="8" s="1"/>
  <c r="D25" i="8"/>
  <c r="S25" i="8" s="1"/>
  <c r="D29" i="8"/>
  <c r="S29" i="8" s="1"/>
  <c r="D12" i="8"/>
  <c r="S12" i="8" s="1"/>
  <c r="D16" i="8"/>
  <c r="S16" i="8" s="1"/>
  <c r="D20" i="8"/>
  <c r="S20" i="8" s="1"/>
  <c r="D24" i="8"/>
  <c r="S24" i="8" s="1"/>
  <c r="C23" i="8"/>
  <c r="C27" i="8"/>
  <c r="N97" i="7" l="1"/>
  <c r="N125" i="7"/>
  <c r="N65" i="7"/>
  <c r="N68" i="7"/>
  <c r="N87" i="7"/>
  <c r="N98" i="7"/>
  <c r="N48" i="7"/>
  <c r="N103" i="7"/>
  <c r="N55" i="7"/>
  <c r="N66" i="7"/>
  <c r="N70" i="7"/>
  <c r="N120" i="7"/>
  <c r="N102" i="7"/>
  <c r="N105" i="7"/>
  <c r="N81" i="7"/>
  <c r="B20" i="5"/>
  <c r="N100" i="7"/>
  <c r="N56" i="7"/>
  <c r="N88" i="7"/>
  <c r="N110" i="7"/>
  <c r="N113" i="7"/>
  <c r="N117" i="7"/>
  <c r="N51" i="7"/>
  <c r="N53" i="7"/>
  <c r="B25" i="5"/>
  <c r="B21" i="5"/>
  <c r="N39" i="7"/>
  <c r="N23" i="7"/>
  <c r="N44" i="7"/>
  <c r="N28" i="7"/>
  <c r="N45" i="7"/>
  <c r="N29" i="7"/>
  <c r="N13" i="7"/>
  <c r="N38" i="7"/>
  <c r="N22" i="7"/>
  <c r="B37" i="4"/>
  <c r="B26" i="6" s="1"/>
  <c r="B29" i="4"/>
  <c r="B18" i="6" s="1"/>
  <c r="B24" i="4"/>
  <c r="B13" i="6" s="1"/>
  <c r="A13" i="6" s="1"/>
  <c r="B36" i="4"/>
  <c r="B25" i="6" s="1"/>
  <c r="B28" i="4"/>
  <c r="B17" i="6" s="1"/>
  <c r="B40" i="4"/>
  <c r="B29" i="6" s="1"/>
  <c r="B43" i="4"/>
  <c r="B32" i="6" s="1"/>
  <c r="B35" i="4"/>
  <c r="B24" i="6" s="1"/>
  <c r="B27" i="4"/>
  <c r="B16" i="6" s="1"/>
  <c r="B42" i="4"/>
  <c r="B31" i="6" s="1"/>
  <c r="B34" i="4"/>
  <c r="B23" i="6" s="1"/>
  <c r="B26" i="4"/>
  <c r="B15" i="6" s="1"/>
  <c r="B41" i="4"/>
  <c r="B30" i="6" s="1"/>
  <c r="B33" i="4"/>
  <c r="B22" i="6" s="1"/>
  <c r="B25" i="4"/>
  <c r="B14" i="6" s="1"/>
  <c r="B32" i="4"/>
  <c r="B21" i="6" s="1"/>
  <c r="B39" i="4"/>
  <c r="B28" i="6" s="1"/>
  <c r="B31" i="4"/>
  <c r="B20" i="6" s="1"/>
  <c r="B38" i="4"/>
  <c r="B27" i="6" s="1"/>
  <c r="B30" i="4"/>
  <c r="B19" i="6" s="1"/>
  <c r="B13" i="5"/>
  <c r="B23" i="5"/>
  <c r="B15" i="5"/>
  <c r="B24" i="5"/>
  <c r="N43" i="7"/>
  <c r="N27" i="7"/>
  <c r="N32" i="7"/>
  <c r="N16" i="7"/>
  <c r="N49" i="7"/>
  <c r="N33" i="7"/>
  <c r="N17" i="7"/>
  <c r="N42" i="7"/>
  <c r="N26" i="7"/>
  <c r="B16" i="5"/>
  <c r="B27" i="5"/>
  <c r="B17" i="5"/>
  <c r="B22" i="5"/>
  <c r="N31" i="7"/>
  <c r="N15" i="7"/>
  <c r="N36" i="7"/>
  <c r="N20" i="7"/>
  <c r="N37" i="7"/>
  <c r="N21" i="7"/>
  <c r="N46" i="7"/>
  <c r="N30" i="7"/>
  <c r="N14" i="7"/>
  <c r="B26" i="5"/>
  <c r="B18" i="5"/>
  <c r="B30" i="5"/>
  <c r="N54" i="7"/>
  <c r="B29" i="5"/>
  <c r="B19" i="5"/>
  <c r="B28" i="5"/>
  <c r="N35" i="7"/>
  <c r="N19" i="7"/>
  <c r="N40" i="7"/>
  <c r="N24" i="7"/>
  <c r="N41" i="7"/>
  <c r="N25" i="7"/>
  <c r="N34" i="7"/>
  <c r="N18" i="7"/>
  <c r="B14" i="5"/>
  <c r="I96" i="2"/>
  <c r="H96" i="2"/>
  <c r="H97" i="2"/>
  <c r="I97" i="2"/>
  <c r="I98" i="2"/>
  <c r="H98" i="2"/>
  <c r="H95" i="2"/>
  <c r="H94" i="2"/>
  <c r="I94" i="2"/>
  <c r="I95" i="2" l="1"/>
  <c r="H38" i="2"/>
  <c r="I38" i="2"/>
  <c r="I37" i="2"/>
  <c r="H37" i="2"/>
  <c r="I36" i="2"/>
  <c r="H36" i="2"/>
  <c r="H66" i="2"/>
  <c r="H67" i="2"/>
  <c r="I66" i="2"/>
  <c r="I68" i="2"/>
  <c r="H65" i="2"/>
  <c r="I65" i="2"/>
  <c r="H64" i="2"/>
  <c r="I64" i="2"/>
  <c r="H68" i="2"/>
  <c r="I67" i="2"/>
</calcChain>
</file>

<file path=xl/comments1.xml><?xml version="1.0" encoding="utf-8"?>
<comments xmlns="http://schemas.openxmlformats.org/spreadsheetml/2006/main">
  <authors>
    <author>Author</author>
  </authors>
  <commentList>
    <comment ref="G69" authorId="0">
      <text>
        <r>
          <rPr>
            <b/>
            <sz val="9"/>
            <color indexed="81"/>
            <rFont val="Tahoma"/>
            <family val="2"/>
          </rPr>
          <t>Author:</t>
        </r>
        <r>
          <rPr>
            <sz val="9"/>
            <color indexed="81"/>
            <rFont val="Tahoma"/>
            <family val="2"/>
          </rPr>
          <t xml:space="preserve">
xem lai tru 173</t>
        </r>
      </text>
    </comment>
  </commentList>
</comments>
</file>

<file path=xl/sharedStrings.xml><?xml version="1.0" encoding="utf-8"?>
<sst xmlns="http://schemas.openxmlformats.org/spreadsheetml/2006/main" count="9404" uniqueCount="3979">
  <si>
    <t>STT</t>
  </si>
  <si>
    <t>Trần Đại Thức</t>
  </si>
  <si>
    <t>Trần Quang Hoàng</t>
  </si>
  <si>
    <t>Nguyễn Thị Thơi</t>
  </si>
  <si>
    <t>Lương Thành Viên</t>
  </si>
  <si>
    <t>Thái Thọ Nhơn</t>
  </si>
  <si>
    <t xml:space="preserve">BIÊN BẢN XÁC ĐỊNH KHỐI LƯỢNG VẬT TƯ THU </t>
  </si>
  <si>
    <t xml:space="preserve">HỒI TRƯỚC KHI THÁO GỠ KHỎI LƯỚI ĐIỆN </t>
  </si>
  <si>
    <t>LẦN 2</t>
  </si>
  <si>
    <t>Thành phần xác định vật tư thu hồi gồm có:</t>
  </si>
  <si>
    <t>Ông:</t>
  </si>
  <si>
    <t>Nguyễn Vĩnh Tuấn</t>
  </si>
  <si>
    <t>Chức vụ: Giám Đốc.</t>
  </si>
  <si>
    <t xml:space="preserve">    </t>
  </si>
  <si>
    <t>Chức vụ: TP. KH – KT.</t>
  </si>
  <si>
    <t>Nguyễn Đình Thuận</t>
  </si>
  <si>
    <t>Chức vụ: ĐT. Đội QLVH ĐD &amp; TBA.</t>
  </si>
  <si>
    <t>Lương Thành Viên</t>
  </si>
  <si>
    <t>Chức vụ: TP.TCKT.</t>
  </si>
  <si>
    <t>Thái Thọ Nhơn</t>
  </si>
  <si>
    <t>Chức vụ: PP.TCKT.</t>
  </si>
  <si>
    <t>Chức vụ: CBKT.</t>
  </si>
  <si>
    <t xml:space="preserve">              Đã tiến hành kiểm tra và xác nhận khối lượng vật tư thiết bị thu hồi sẽ tháo gỡ từ công trình trên với khối lượng như sau:</t>
  </si>
  <si>
    <t>Đvt</t>
  </si>
  <si>
    <t>Số lượng</t>
  </si>
  <si>
    <t>Ghi chú</t>
  </si>
  <si>
    <t>Dự toán</t>
  </si>
  <si>
    <t>Thực tế</t>
  </si>
  <si>
    <t>x</t>
  </si>
  <si>
    <t>Thành phần hội đồng ký xác nhận:</t>
  </si>
  <si>
    <t>1.</t>
  </si>
  <si>
    <t>GIÁM ĐỐC</t>
  </si>
  <si>
    <t>2.</t>
  </si>
  <si>
    <t>3.</t>
  </si>
  <si>
    <t>4.</t>
  </si>
  <si>
    <t>5.</t>
  </si>
  <si>
    <t>6.</t>
  </si>
  <si>
    <t>Nguyễn Vĩnh Tuấn</t>
  </si>
  <si>
    <t>BIÊN BẢN XÁC ĐỊNH TỈ TRỌNG VẬT TƯ THU</t>
  </si>
  <si>
    <t xml:space="preserve">HỒI SAU KHI THÁO GỠ KHỎI LƯỚI ĐIỆN </t>
  </si>
  <si>
    <t>LẦN 1</t>
  </si>
  <si>
    <t xml:space="preserve">               Hôm nay  ngày      tháng       năm  2017 tại kho Điện lực Xuân Lộc chúng tôi gồm có:</t>
  </si>
  <si>
    <t>Chức vụ: TP.Phòng KH – KT.</t>
  </si>
  <si>
    <t xml:space="preserve">     Đã tiến hành kiểm tra và cùng tiến hành xác định tỉ trọng vật tư thu hồi như sau:</t>
  </si>
  <si>
    <t>Tên vật tư</t>
  </si>
  <si>
    <t>ĐVT</t>
  </si>
  <si>
    <t>Tỉ trọng</t>
  </si>
  <si>
    <t>BIÊN BẢN ĐÁNH GIÁ VẬT TƯ THU HỒI</t>
  </si>
  <si>
    <t>SAU KHI THỬ NGHIỆM, PHÂN LOẠI</t>
  </si>
  <si>
    <t>Thành phần đánh giá vật tư thu hồi gồm có:</t>
  </si>
  <si>
    <t>Bộ phận giúp việc:</t>
  </si>
  <si>
    <t>Nguyễn Minh Hiếu</t>
  </si>
  <si>
    <t>Chức vụ: Thủ kho vật tư.</t>
  </si>
  <si>
    <t>Chức vụ: CB vật tư.</t>
  </si>
  <si>
    <t>Hạng mục vật tư</t>
  </si>
  <si>
    <t>Tỉ lệ
sử dụng</t>
  </si>
  <si>
    <t>Đơn giá
(VNĐ )</t>
  </si>
  <si>
    <t>Diễn giải</t>
  </si>
  <si>
    <t>7.</t>
  </si>
  <si>
    <t>8.</t>
  </si>
  <si>
    <t>BẢNG VẬT TƯ THU HỒI ĐỀ NGHỊ NHẬP KHO</t>
  </si>
  <si>
    <t>Nguồn Vốn: SCTX.</t>
  </si>
  <si>
    <t>Đơn giá
(VNĐ)</t>
  </si>
  <si>
    <t>BẢNG VẬT TƯ THỪA ĐỀ NGHỊ NHẬP KHO</t>
  </si>
  <si>
    <t>Kính gửi:</t>
  </si>
  <si>
    <r>
      <t>-</t>
    </r>
    <r>
      <rPr>
        <sz val="7"/>
        <color rgb="FF000000"/>
        <rFont val="Times New Roman"/>
        <family val="1"/>
      </rPr>
      <t xml:space="preserve">   </t>
    </r>
    <r>
      <rPr>
        <sz val="14"/>
        <color rgb="FF000000"/>
        <rFont val="Times New Roman"/>
        <family val="1"/>
      </rPr>
      <t>Giám đốc Điện lực Xuân Lộc;</t>
    </r>
  </si>
  <si>
    <r>
      <t>-</t>
    </r>
    <r>
      <rPr>
        <sz val="14"/>
        <color rgb="FF000000"/>
        <rFont val="Times New Roman"/>
        <family val="1"/>
      </rPr>
      <t xml:space="preserve"> Phòng KH-KT.</t>
    </r>
  </si>
  <si>
    <t>Nơi nhập: Kho Điện lực Xuân Lộc.</t>
  </si>
  <si>
    <t>Stt</t>
  </si>
  <si>
    <t>Tham chiếu phiếu xuất</t>
  </si>
  <si>
    <t>Nơi nhận:</t>
  </si>
  <si>
    <t>- Như trên;</t>
  </si>
  <si>
    <t>- Lưu QLVH.</t>
  </si>
  <si>
    <t>Thực lãnh</t>
  </si>
  <si>
    <t>Thực hiện</t>
  </si>
  <si>
    <t>Thừa</t>
  </si>
  <si>
    <t xml:space="preserve">Số </t>
  </si>
  <si>
    <t>Ngày</t>
  </si>
  <si>
    <t>QUYẾT TOÁN KHỐI LƯỢNG VẬT TƯ</t>
  </si>
  <si>
    <t>Phiếu Xuất</t>
  </si>
  <si>
    <t>Khối lượng</t>
  </si>
  <si>
    <t>Phiếu nhập</t>
  </si>
  <si>
    <t>Danh pháp</t>
  </si>
  <si>
    <t>XX</t>
  </si>
  <si>
    <t>QUYẾT TOÁN KHỐI LƯỢNG VẬT TƯ THU HỒI</t>
  </si>
  <si>
    <t>SỐ LƯỢNG</t>
  </si>
  <si>
    <t>PHIẾU NHẬP</t>
  </si>
  <si>
    <t>GHI CHÚ</t>
  </si>
  <si>
    <t>Trọng lượng riêng</t>
  </si>
  <si>
    <t>Khối lượng vật tư</t>
  </si>
  <si>
    <t>SỐ</t>
  </si>
  <si>
    <t>NGÀY</t>
  </si>
  <si>
    <t>CÔNG TY TNHH MỘT THÀNH VIÊN</t>
  </si>
  <si>
    <t>ĐIỆN LỰC ĐỒNG NAI</t>
  </si>
  <si>
    <t>ĐIỆN LỰC XUÂN LỘC</t>
  </si>
  <si>
    <t>QUYẾT TOÁN GIÁ TRỊ CÔNG TRÌNH</t>
  </si>
  <si>
    <t>Hạng mục - Quy cách</t>
  </si>
  <si>
    <t>Phiếu xuất</t>
  </si>
  <si>
    <t>Thực
hiện</t>
  </si>
  <si>
    <t>Đơn giá</t>
  </si>
  <si>
    <t>Thành tiền</t>
  </si>
  <si>
    <t>Số</t>
  </si>
  <si>
    <t>TỔNG CỘNG:</t>
  </si>
  <si>
    <t>Số tiền bằng chữ:</t>
  </si>
  <si>
    <t>Xuân Lộc, ngày       tháng          năm 2017</t>
  </si>
  <si>
    <t>PTP. KH-KT</t>
  </si>
  <si>
    <t>TP. TC-KT</t>
  </si>
  <si>
    <t>PTP. TC-KT</t>
  </si>
  <si>
    <t>CBKT</t>
  </si>
  <si>
    <t>1/ Chủ đầu tư: Điện lực Xuân Lộc:</t>
  </si>
  <si>
    <t>Phùng Tiến Nga</t>
  </si>
  <si>
    <t>Chức vụ:</t>
  </si>
  <si>
    <t>P.Giám đốc kỹ thuật</t>
  </si>
  <si>
    <t>Trần Duy Khánh</t>
  </si>
  <si>
    <t>ĐT.Đội QLVH ĐD&amp;TBA</t>
  </si>
  <si>
    <t>Hồ Thị Túy Trúc</t>
  </si>
  <si>
    <t>TP. Tổng hợp</t>
  </si>
  <si>
    <t>Lê Ngọc Thanh</t>
  </si>
  <si>
    <t>PTP. Tổng hợp</t>
  </si>
  <si>
    <t>Nguyễn Văn Chí</t>
  </si>
  <si>
    <t>Trần Văn Hà</t>
  </si>
  <si>
    <t>Trần Kim Lâm</t>
  </si>
  <si>
    <t>2/ Đơn vị thi công: Công ty TNHH Thu Lộc:</t>
  </si>
  <si>
    <t>Trần Thị Ngọc Thọ</t>
  </si>
  <si>
    <t>Giám đốc</t>
  </si>
  <si>
    <t>Hoàng Như Hoàn</t>
  </si>
  <si>
    <t>Giám sát B</t>
  </si>
  <si>
    <t>Trần Văn Sỹ</t>
  </si>
  <si>
    <t>Chỉ huy trưởng</t>
  </si>
  <si>
    <t>Chu Văn Hiếu</t>
  </si>
  <si>
    <t>P. Giám đốc</t>
  </si>
  <si>
    <t>Trần Quang Phúc</t>
  </si>
  <si>
    <t>Giám sát trưởng A</t>
  </si>
  <si>
    <t>89a</t>
  </si>
  <si>
    <t>90a</t>
  </si>
  <si>
    <t>91a</t>
  </si>
  <si>
    <t>92a</t>
  </si>
  <si>
    <t>93a</t>
  </si>
  <si>
    <t>94a</t>
  </si>
  <si>
    <t>95a</t>
  </si>
  <si>
    <t>96a</t>
  </si>
  <si>
    <t>97a</t>
  </si>
  <si>
    <t>98a</t>
  </si>
  <si>
    <t>99a</t>
  </si>
  <si>
    <t>100a</t>
  </si>
  <si>
    <t>101a</t>
  </si>
  <si>
    <t>102a</t>
  </si>
  <si>
    <t>103a</t>
  </si>
  <si>
    <t>104a</t>
  </si>
  <si>
    <t>105a</t>
  </si>
  <si>
    <t>106a</t>
  </si>
  <si>
    <t>107a</t>
  </si>
  <si>
    <t>108a</t>
  </si>
  <si>
    <t>109a</t>
  </si>
  <si>
    <t>110a</t>
  </si>
  <si>
    <t>111a</t>
  </si>
  <si>
    <t>111b</t>
  </si>
  <si>
    <t>112a</t>
  </si>
  <si>
    <t>113a</t>
  </si>
  <si>
    <t>114a</t>
  </si>
  <si>
    <t>115a</t>
  </si>
  <si>
    <t>116a</t>
  </si>
  <si>
    <t>117a</t>
  </si>
  <si>
    <t>118a</t>
  </si>
  <si>
    <t>119a</t>
  </si>
  <si>
    <t>120a</t>
  </si>
  <si>
    <t>121a</t>
  </si>
  <si>
    <t>122a</t>
  </si>
  <si>
    <t>123a</t>
  </si>
  <si>
    <t>124a</t>
  </si>
  <si>
    <t>125a</t>
  </si>
  <si>
    <t>126a</t>
  </si>
  <si>
    <t>127a</t>
  </si>
  <si>
    <t>128a</t>
  </si>
  <si>
    <t>129a</t>
  </si>
  <si>
    <t>130a</t>
  </si>
  <si>
    <t>131a</t>
  </si>
  <si>
    <t>132A</t>
  </si>
  <si>
    <t>132B</t>
  </si>
  <si>
    <t>133a</t>
  </si>
  <si>
    <t>134a</t>
  </si>
  <si>
    <t>135a</t>
  </si>
  <si>
    <t>136a</t>
  </si>
  <si>
    <t>137a</t>
  </si>
  <si>
    <t>138a</t>
  </si>
  <si>
    <t>139B</t>
  </si>
  <si>
    <t>139A</t>
  </si>
  <si>
    <t>140a</t>
  </si>
  <si>
    <t>141a</t>
  </si>
  <si>
    <t>142a</t>
  </si>
  <si>
    <t>143a</t>
  </si>
  <si>
    <t>144a</t>
  </si>
  <si>
    <t>145B</t>
  </si>
  <si>
    <t>145A</t>
  </si>
  <si>
    <t>146a</t>
  </si>
  <si>
    <t>147a</t>
  </si>
  <si>
    <t>148a</t>
  </si>
  <si>
    <t>149a</t>
  </si>
  <si>
    <t>150a</t>
  </si>
  <si>
    <t>151a</t>
  </si>
  <si>
    <t>152a</t>
  </si>
  <si>
    <t>153a</t>
  </si>
  <si>
    <t>154a</t>
  </si>
  <si>
    <t>155a</t>
  </si>
  <si>
    <t>156a</t>
  </si>
  <si>
    <t>157a</t>
  </si>
  <si>
    <t>158a</t>
  </si>
  <si>
    <t>159a</t>
  </si>
  <si>
    <t>160a</t>
  </si>
  <si>
    <t>161A</t>
  </si>
  <si>
    <t>162a</t>
  </si>
  <si>
    <t>163a</t>
  </si>
  <si>
    <t>164a</t>
  </si>
  <si>
    <t>165a</t>
  </si>
  <si>
    <t>166A</t>
  </si>
  <si>
    <t>167a</t>
  </si>
  <si>
    <t>168a</t>
  </si>
  <si>
    <t>169a</t>
  </si>
  <si>
    <t>170a</t>
  </si>
  <si>
    <t>171a</t>
  </si>
  <si>
    <t>172a</t>
  </si>
  <si>
    <t>173a</t>
  </si>
  <si>
    <t>174A</t>
  </si>
  <si>
    <t>Số trụ</t>
  </si>
  <si>
    <t xml:space="preserve">Kh.cách </t>
  </si>
  <si>
    <t>Nâng cấp ĐZTT AC95+AC70 thành 3ACX185 + AC120</t>
  </si>
  <si>
    <t xml:space="preserve">PHẦN VẬT TƯ HiỆN HỮU THÁO THU HỒI </t>
  </si>
  <si>
    <t>Nhổ trụ 10,5m</t>
  </si>
  <si>
    <t>Nhổ trụ 8,5 m</t>
  </si>
  <si>
    <t>Tháo dây AC95</t>
  </si>
  <si>
    <t>Tháo dây AC70</t>
  </si>
  <si>
    <t>Tháo dây AC50</t>
  </si>
  <si>
    <t>Tháo dây CXV 25</t>
  </si>
  <si>
    <t>Nhổ trụ 12m</t>
  </si>
  <si>
    <t>Nhổ trụ 7,5m</t>
  </si>
  <si>
    <t>Nhổ trụ 8,4m</t>
  </si>
  <si>
    <t>Tháo đà cản 1,2m</t>
  </si>
  <si>
    <t>Tháo X-0.8Đ</t>
  </si>
  <si>
    <t>Tháo X- 0,8m</t>
  </si>
  <si>
    <t>Tháo X-composite 0,8m</t>
  </si>
  <si>
    <t>Tháo X-2,0ĐL</t>
  </si>
  <si>
    <t>Tháo X-2,0KL</t>
  </si>
  <si>
    <t>Tháo X-1,66Đ</t>
  </si>
  <si>
    <t>Tháo X-1,66K</t>
  </si>
  <si>
    <t>Tháo X-2,2Đ</t>
  </si>
  <si>
    <t>X-20ĐL2/3</t>
  </si>
  <si>
    <t>Tháo X-2,2K</t>
  </si>
  <si>
    <t>Tháo X-2,1ĐL</t>
  </si>
  <si>
    <t>Tháo X-2,1KL</t>
  </si>
  <si>
    <t>Tháo bộ chằng lệch</t>
  </si>
  <si>
    <t>Tháo bộ chằng xuống</t>
  </si>
  <si>
    <t>Tháo sứ treo thủy tinh</t>
  </si>
  <si>
    <t>Lem yên ngựa</t>
  </si>
  <si>
    <t>Tháo sứ treo Polymer</t>
  </si>
  <si>
    <t>Tháo sứ đứng</t>
  </si>
  <si>
    <t>Tháo sứ đỉnh</t>
  </si>
  <si>
    <t>Tháo R3 sứ</t>
  </si>
  <si>
    <t>Tháo R4 sứ</t>
  </si>
  <si>
    <t>Tháo hộp Domino</t>
  </si>
  <si>
    <t>Tháo Ghíp IPC</t>
  </si>
  <si>
    <t>Tháo kẹp quai</t>
  </si>
  <si>
    <t>Tháo kẹp dừng ABC</t>
  </si>
  <si>
    <t>Tháo Kẹp treo ABC</t>
  </si>
  <si>
    <t>Tháo tủ hạ thế</t>
  </si>
  <si>
    <t>Tháo FCO</t>
  </si>
  <si>
    <t>Tháo LBS khí</t>
  </si>
  <si>
    <t>Tháo LTD</t>
  </si>
  <si>
    <t>Tháo LA</t>
  </si>
  <si>
    <t>Tháo TBA 1P 50KVA</t>
  </si>
  <si>
    <t>Tháo TBA 1P 75KVA</t>
  </si>
  <si>
    <t>Tháo TBA 1P: 100KVA</t>
  </si>
  <si>
    <t>Tháo bộ đỡ trung hòa</t>
  </si>
  <si>
    <t>Tháo bộ dừng trung hòa</t>
  </si>
  <si>
    <t xml:space="preserve">1. NÂNG CẤP ĐƯỜNG  TRUNG THẾ </t>
  </si>
  <si>
    <t>CỘNG 1:</t>
  </si>
  <si>
    <t>Hạng mục - quy cách</t>
  </si>
  <si>
    <t>Tăng</t>
  </si>
  <si>
    <t>Sứ đứng</t>
  </si>
  <si>
    <t>Sứ</t>
  </si>
  <si>
    <t>Dự toán tính thiếu</t>
  </si>
  <si>
    <t>Chân sứ đỉnh</t>
  </si>
  <si>
    <t>cái</t>
  </si>
  <si>
    <t>Bulon 16x250 bắt chân sứ đỉnh</t>
  </si>
  <si>
    <t>Ty sứ đứng D20</t>
  </si>
  <si>
    <t>Bộ đỡ trung hòa</t>
  </si>
  <si>
    <t>Bộ</t>
  </si>
  <si>
    <t>DT tính dư tại trụ 174</t>
  </si>
  <si>
    <t>Rack 1</t>
  </si>
  <si>
    <t>Cái</t>
  </si>
  <si>
    <t>Bulong 16x300</t>
  </si>
  <si>
    <t>Sứ polymer</t>
  </si>
  <si>
    <t>Bulong 16x50</t>
  </si>
  <si>
    <t>Bulong 16x250</t>
  </si>
  <si>
    <t>Bulon 16x300 VRS</t>
  </si>
  <si>
    <t>Giảm</t>
  </si>
  <si>
    <t>4</t>
  </si>
  <si>
    <t>3</t>
  </si>
  <si>
    <t>4.1</t>
  </si>
  <si>
    <t>"</t>
  </si>
  <si>
    <t>4.2</t>
  </si>
  <si>
    <t>4.3</t>
  </si>
  <si>
    <t>5</t>
  </si>
  <si>
    <t>5.1</t>
  </si>
  <si>
    <t>5.2</t>
  </si>
  <si>
    <t>5.3</t>
  </si>
  <si>
    <t>5.4</t>
  </si>
  <si>
    <t>6</t>
  </si>
  <si>
    <t>6.1</t>
  </si>
  <si>
    <t>6.2</t>
  </si>
  <si>
    <t>6.3</t>
  </si>
  <si>
    <t>7</t>
  </si>
  <si>
    <t>8</t>
  </si>
  <si>
    <t>9</t>
  </si>
  <si>
    <t>10</t>
  </si>
  <si>
    <t>10.1</t>
  </si>
  <si>
    <t>10.2</t>
  </si>
  <si>
    <t>10.3</t>
  </si>
  <si>
    <t>10.4</t>
  </si>
  <si>
    <t>10.5</t>
  </si>
  <si>
    <t>11</t>
  </si>
  <si>
    <t>11.1</t>
  </si>
  <si>
    <t>11.2</t>
  </si>
  <si>
    <t>11.3</t>
  </si>
  <si>
    <t>11.4</t>
  </si>
  <si>
    <t>11.5</t>
  </si>
  <si>
    <t>12</t>
  </si>
  <si>
    <t>12.1</t>
  </si>
  <si>
    <t>12.2</t>
  </si>
  <si>
    <t>12.3</t>
  </si>
  <si>
    <t>12.4</t>
  </si>
  <si>
    <t>12.5</t>
  </si>
  <si>
    <t>13</t>
  </si>
  <si>
    <t>13.1</t>
  </si>
  <si>
    <t>13.2</t>
  </si>
  <si>
    <t>13.3</t>
  </si>
  <si>
    <t>13.4</t>
  </si>
  <si>
    <t>13.5</t>
  </si>
  <si>
    <t>13.6</t>
  </si>
  <si>
    <t>14</t>
  </si>
  <si>
    <t>14.1</t>
  </si>
  <si>
    <t>14.2</t>
  </si>
  <si>
    <t>14.3</t>
  </si>
  <si>
    <t>14.4</t>
  </si>
  <si>
    <t>15</t>
  </si>
  <si>
    <t>15.1</t>
  </si>
  <si>
    <t>15.2</t>
  </si>
  <si>
    <t>15.3</t>
  </si>
  <si>
    <t>15.4</t>
  </si>
  <si>
    <t>15.5</t>
  </si>
  <si>
    <t>16</t>
  </si>
  <si>
    <t>17</t>
  </si>
  <si>
    <t>18</t>
  </si>
  <si>
    <t>19</t>
  </si>
  <si>
    <t>Bulon 16x200</t>
  </si>
  <si>
    <t>20</t>
  </si>
  <si>
    <t>21</t>
  </si>
  <si>
    <t>22</t>
  </si>
  <si>
    <t>22.1</t>
  </si>
  <si>
    <t>22.2</t>
  </si>
  <si>
    <t>22.3</t>
  </si>
  <si>
    <t>Bulon 12x50</t>
  </si>
  <si>
    <t>22.4</t>
  </si>
  <si>
    <t>Bulon 16x00</t>
  </si>
  <si>
    <t>22.5</t>
  </si>
  <si>
    <t>Bulon 16x400</t>
  </si>
  <si>
    <t>23</t>
  </si>
  <si>
    <t>23.1</t>
  </si>
  <si>
    <t>23.2</t>
  </si>
  <si>
    <t>24</t>
  </si>
  <si>
    <t>Ghíp IPC</t>
  </si>
  <si>
    <t>25</t>
  </si>
  <si>
    <t>1</t>
  </si>
  <si>
    <t>2</t>
  </si>
  <si>
    <t>Sứ ống chỉ</t>
  </si>
  <si>
    <t>Bộ sứ treo thủy tinh (bộ 2 bát)</t>
  </si>
  <si>
    <t>Sứ treo thủy tinh</t>
  </si>
  <si>
    <t>Bát</t>
  </si>
  <si>
    <t>Móc treo chữ U</t>
  </si>
  <si>
    <t>Kẹo dừng 3 U</t>
  </si>
  <si>
    <t>Sứ treo Polymer</t>
  </si>
  <si>
    <t>Kẹp dưừng 3 U</t>
  </si>
  <si>
    <t>Cáp AC95</t>
  </si>
  <si>
    <t>Mét</t>
  </si>
  <si>
    <t>Cáp AC70</t>
  </si>
  <si>
    <t>Có 1 vị trí dùng
lem yên ngựa</t>
  </si>
  <si>
    <t>DT tính dư tại trụ 148</t>
  </si>
  <si>
    <t>Cáp AC50</t>
  </si>
  <si>
    <t>Bộ đà 1,66m X-16Đ</t>
  </si>
  <si>
    <t>Đà 1,66m X-16Đ</t>
  </si>
  <si>
    <t>Chống đà 810</t>
  </si>
  <si>
    <t>Bộ đà 1,66m X-16K</t>
  </si>
  <si>
    <t>Bộ đà 2m X-2Đ</t>
  </si>
  <si>
    <t>Đà 2m X-2Đ</t>
  </si>
  <si>
    <t>Chống đà 1150</t>
  </si>
  <si>
    <t>Bộ đà 2,2m X-2,2K</t>
  </si>
  <si>
    <t>Đà 2,2m X-2,2Đ</t>
  </si>
  <si>
    <t>Dự toán tính dư</t>
  </si>
  <si>
    <t>Dự toán tính thiếu tại trụ 95</t>
  </si>
  <si>
    <t>Dự toán tính thiếu tại trụ 148</t>
  </si>
  <si>
    <t>Dự toán tính thiếu tại trụ 173</t>
  </si>
  <si>
    <t>Tháo Bộ chằng xuống</t>
  </si>
  <si>
    <t>Cáp thép 5/8""</t>
  </si>
  <si>
    <t>Sứ chằng</t>
  </si>
  <si>
    <t>Kẹp cáp 3 bulon</t>
  </si>
  <si>
    <t>Bulon mắt 16x300</t>
  </si>
  <si>
    <t>Tháo Bộ chằng lệch</t>
  </si>
  <si>
    <t>Bộ chống lệch 1,2m</t>
  </si>
  <si>
    <t>Trụ BTLT 12m</t>
  </si>
  <si>
    <t>trụ</t>
  </si>
  <si>
    <t>Trụ BTLT 8,4m</t>
  </si>
  <si>
    <t>Cáp CXV XLPE 25mm2</t>
  </si>
  <si>
    <t>mét</t>
  </si>
  <si>
    <t>Bulon móc 16x200</t>
  </si>
  <si>
    <t>Kẹp dừng 3U</t>
  </si>
  <si>
    <t>Bộ xà Composite 0,8m</t>
  </si>
  <si>
    <t>Đà composite 0,8m</t>
  </si>
  <si>
    <t>cây</t>
  </si>
  <si>
    <t>Thanh chống đà 710mm</t>
  </si>
  <si>
    <t>Bộ dửng trung hòa</t>
  </si>
  <si>
    <t>Kẹp dửng 3U</t>
  </si>
  <si>
    <t>Bulon móc 16x300</t>
  </si>
  <si>
    <t>Kẹp quai</t>
  </si>
  <si>
    <t>Dự toán 8 góc, 
76 đỡ. Thực tế 9 góc, 77 đỡ</t>
  </si>
  <si>
    <t>Bà:</t>
  </si>
  <si>
    <t>Hệ số lắp xà:</t>
  </si>
  <si>
    <t>Hệ số lắp xà H:</t>
  </si>
  <si>
    <t>Hệ số dựng cột  :</t>
  </si>
  <si>
    <t>Hệ số kéo dây :</t>
  </si>
  <si>
    <t>Cấp đất:</t>
  </si>
  <si>
    <t>BẢNG KHỐI LƯỢNG PHẦN ĐƯỜNG DÂY
(Đính kèm biên bản nghiệm thu hoàn thành công trình đưa và sử dụng ngày….. tháng…..năm 2018)</t>
  </si>
  <si>
    <t>MÃ</t>
  </si>
  <si>
    <t>SỐ HIỆU</t>
  </si>
  <si>
    <t>DANH MỤC</t>
  </si>
  <si>
    <t>ĐƠN VỊ</t>
  </si>
  <si>
    <t>HỆ</t>
  </si>
  <si>
    <t>KHỐI LƯỢNG</t>
  </si>
  <si>
    <t>ĐƠN GIÁ</t>
  </si>
  <si>
    <t>DỰ TOÁN</t>
  </si>
  <si>
    <t>HTCS</t>
  </si>
  <si>
    <t>THI CÔNG</t>
  </si>
  <si>
    <t>PS TĂNG</t>
  </si>
  <si>
    <t>PS GIẢM</t>
  </si>
  <si>
    <t>Đơn vị</t>
  </si>
  <si>
    <t>X</t>
  </si>
  <si>
    <t>M7</t>
  </si>
  <si>
    <t>Móng M7</t>
  </si>
  <si>
    <t>Móng</t>
  </si>
  <si>
    <t>dctc</t>
  </si>
  <si>
    <t>M7a</t>
  </si>
  <si>
    <t>Móng M7a</t>
  </si>
  <si>
    <t>bocdc</t>
  </si>
  <si>
    <t>M7b</t>
  </si>
  <si>
    <t>Móng M7b</t>
  </si>
  <si>
    <t>M7aa</t>
  </si>
  <si>
    <t>Móng M7aa</t>
  </si>
  <si>
    <t>M7ba</t>
  </si>
  <si>
    <t>Móng M7ba</t>
  </si>
  <si>
    <t>M7-2a</t>
  </si>
  <si>
    <t>Móng M7-2a</t>
  </si>
  <si>
    <t>M8</t>
  </si>
  <si>
    <t>Móng M8</t>
  </si>
  <si>
    <t>M8a</t>
  </si>
  <si>
    <t>Móng M8a</t>
  </si>
  <si>
    <t>M8BT Đơn</t>
  </si>
  <si>
    <t>Móng bê tông trụ đơn 8,4m</t>
  </si>
  <si>
    <t>XM</t>
  </si>
  <si>
    <t>cat</t>
  </si>
  <si>
    <t xml:space="preserve"> </t>
  </si>
  <si>
    <t>SO8</t>
  </si>
  <si>
    <t>KEM</t>
  </si>
  <si>
    <t>MDD3</t>
  </si>
  <si>
    <t>MDAP3</t>
  </si>
  <si>
    <t>BOCXI</t>
  </si>
  <si>
    <t>BOCCAT</t>
  </si>
  <si>
    <t>BOCDA</t>
  </si>
  <si>
    <t>LCT10</t>
  </si>
  <si>
    <t>VCXM1</t>
  </si>
  <si>
    <t>VCCAT1</t>
  </si>
  <si>
    <t>VCLD1</t>
  </si>
  <si>
    <t>VCDC1</t>
  </si>
  <si>
    <t>DBT20012</t>
  </si>
  <si>
    <t>M7BT Đôi</t>
  </si>
  <si>
    <t>SO10</t>
  </si>
  <si>
    <t>DBT15012</t>
  </si>
  <si>
    <t>M8b</t>
  </si>
  <si>
    <t>Móng M8b</t>
  </si>
  <si>
    <t>M8aa</t>
  </si>
  <si>
    <t>Móng M8aa</t>
  </si>
  <si>
    <t>M8ba</t>
  </si>
  <si>
    <t>Móng M8ba</t>
  </si>
  <si>
    <t>M8bb</t>
  </si>
  <si>
    <t>Móng M8bb</t>
  </si>
  <si>
    <t>M8-2a</t>
  </si>
  <si>
    <t>Móng M8-2a</t>
  </si>
  <si>
    <t>M10</t>
  </si>
  <si>
    <t>Móng M10</t>
  </si>
  <si>
    <t>M10a</t>
  </si>
  <si>
    <t xml:space="preserve">Móng M10a </t>
  </si>
  <si>
    <t>M10b</t>
  </si>
  <si>
    <t>Móng M10b</t>
  </si>
  <si>
    <t>M10BT ĐƠN</t>
  </si>
  <si>
    <t>Móng bê tông trụ đơn 10.5m</t>
  </si>
  <si>
    <t>AH2120</t>
  </si>
  <si>
    <t>M10aa</t>
  </si>
  <si>
    <t>Móng M10aa</t>
  </si>
  <si>
    <t>M10ba</t>
  </si>
  <si>
    <t>Móng M10ba</t>
  </si>
  <si>
    <t>BOCDC</t>
  </si>
  <si>
    <t>M10bb</t>
  </si>
  <si>
    <t>Móng M10bb</t>
  </si>
  <si>
    <t>M10-2bn</t>
  </si>
  <si>
    <t>Móng M10-2bn</t>
  </si>
  <si>
    <t>BOCCT5</t>
  </si>
  <si>
    <t>ctram</t>
  </si>
  <si>
    <t>M10-2a</t>
  </si>
  <si>
    <t>Móng M10-2a</t>
  </si>
  <si>
    <t>M10-2b</t>
  </si>
  <si>
    <t>Móng M10-2b</t>
  </si>
  <si>
    <t>M12</t>
  </si>
  <si>
    <t>Móng M12</t>
  </si>
  <si>
    <t>M12a</t>
  </si>
  <si>
    <t>Móng M12a</t>
  </si>
  <si>
    <t>M12b</t>
  </si>
  <si>
    <t>Móng M12b</t>
  </si>
  <si>
    <t>M12aa</t>
  </si>
  <si>
    <t>Móng M12aa</t>
  </si>
  <si>
    <t>M12ba</t>
  </si>
  <si>
    <t>Móng M12ba</t>
  </si>
  <si>
    <t>M12bb</t>
  </si>
  <si>
    <t>Móng M12bb</t>
  </si>
  <si>
    <t>M12-2bn</t>
  </si>
  <si>
    <t>Móng M12-2bn</t>
  </si>
  <si>
    <t>M12-2a</t>
  </si>
  <si>
    <t>Móng M12-2a</t>
  </si>
  <si>
    <t>M12-2b</t>
  </si>
  <si>
    <t>Móng M12-2b</t>
  </si>
  <si>
    <t>M12b-aa(hh)</t>
  </si>
  <si>
    <t>Móng M12b-aa(hh)</t>
  </si>
  <si>
    <t>M12b-2a(hh)</t>
  </si>
  <si>
    <t>Móng M12b-2a(hh)</t>
  </si>
  <si>
    <t>M12 PĐ</t>
  </si>
  <si>
    <t>Móng M12 phá đá</t>
  </si>
  <si>
    <t>MDD31</t>
  </si>
  <si>
    <t>MDDA1</t>
  </si>
  <si>
    <t>MDAP4</t>
  </si>
  <si>
    <t>M12BT ĐƠN</t>
  </si>
  <si>
    <t>Móng bê tông trụ đơn 12m</t>
  </si>
  <si>
    <t>M12BT ĐÔI</t>
  </si>
  <si>
    <t>Móng bê tông trụ đôi 12m</t>
  </si>
  <si>
    <t>M12 CN</t>
  </si>
  <si>
    <t>Móng chống ngập nước</t>
  </si>
  <si>
    <t>cong 1</t>
  </si>
  <si>
    <t>cong 2</t>
  </si>
  <si>
    <t>M12BT P500</t>
  </si>
  <si>
    <t>Móng bê tông trụ đôi 12m tim 500</t>
  </si>
  <si>
    <t>MDD4</t>
  </si>
  <si>
    <t>M14</t>
  </si>
  <si>
    <t>Móng M14</t>
  </si>
  <si>
    <t>M14a</t>
  </si>
  <si>
    <t>Móng M14a</t>
  </si>
  <si>
    <t>M14b</t>
  </si>
  <si>
    <t>Móng M14b</t>
  </si>
  <si>
    <t>M14BT ĐƠN</t>
  </si>
  <si>
    <t>Móng bê tông trụ đơn 14m</t>
  </si>
  <si>
    <t>M14aa</t>
  </si>
  <si>
    <t>Móng M14aa</t>
  </si>
  <si>
    <t>M14ba</t>
  </si>
  <si>
    <t>Móng M14ba</t>
  </si>
  <si>
    <t>M14bb</t>
  </si>
  <si>
    <t>Móng M14bb</t>
  </si>
  <si>
    <t>M14-2bn</t>
  </si>
  <si>
    <t>Móng M14-2bn</t>
  </si>
  <si>
    <t>M14-2a</t>
  </si>
  <si>
    <t>Móng M14-2a</t>
  </si>
  <si>
    <t>M14-2b</t>
  </si>
  <si>
    <t>Móng M14-2b</t>
  </si>
  <si>
    <t>M14-4b</t>
  </si>
  <si>
    <t>Móng M14-4b</t>
  </si>
  <si>
    <t>BTCL-14-500</t>
  </si>
  <si>
    <t>Móng BTCL-14-500</t>
  </si>
  <si>
    <t>DBT10046</t>
  </si>
  <si>
    <t>SO6</t>
  </si>
  <si>
    <t>LDVANK</t>
  </si>
  <si>
    <t>THEP</t>
  </si>
  <si>
    <t>CAT</t>
  </si>
  <si>
    <t>M20-4b</t>
  </si>
  <si>
    <t>Móng M20-4b</t>
  </si>
  <si>
    <t>MTUPP</t>
  </si>
  <si>
    <t>Móng tủ phân phối hạ thế</t>
  </si>
  <si>
    <t>móng</t>
  </si>
  <si>
    <t>02.1104</t>
  </si>
  <si>
    <t>GO</t>
  </si>
  <si>
    <t>03.1113</t>
  </si>
  <si>
    <t>03.2203</t>
  </si>
  <si>
    <t>MTUCS</t>
  </si>
  <si>
    <t>Móng tủ điều khiển chiếu sáng</t>
  </si>
  <si>
    <t>TD75</t>
  </si>
  <si>
    <t>Tiếp địa lặp lại (trụ 7.5m)</t>
  </si>
  <si>
    <t>m25</t>
  </si>
  <si>
    <t>CTD+K</t>
  </si>
  <si>
    <t>GIP70-35</t>
  </si>
  <si>
    <t>Ghíp nối IPC 70-35</t>
  </si>
  <si>
    <t>KTD</t>
  </si>
  <si>
    <t>DCTD3</t>
  </si>
  <si>
    <t>bocpk</t>
  </si>
  <si>
    <t>TD</t>
  </si>
  <si>
    <t>TD85</t>
  </si>
  <si>
    <t>Tiếp địa lặp lại (trụ 8.4m)</t>
  </si>
  <si>
    <t>Ke50</t>
  </si>
  <si>
    <t>cos25</t>
  </si>
  <si>
    <t>b1240</t>
  </si>
  <si>
    <t>TD85ABC</t>
  </si>
  <si>
    <t>Tiếp địa lặp lại trụ 8.5m cáp ABC</t>
  </si>
  <si>
    <t>GIP95-25</t>
  </si>
  <si>
    <t>kg</t>
  </si>
  <si>
    <t>TDTUPP</t>
  </si>
  <si>
    <t>Tiếp địa tủ phân phối hạ thế</t>
  </si>
  <si>
    <t>GIP50-35</t>
  </si>
  <si>
    <t>TDTT105</t>
  </si>
  <si>
    <t>Tiếp địa lặp lại (trụ 10.5m)</t>
  </si>
  <si>
    <t>KCUAL</t>
  </si>
  <si>
    <t>TDTT12</t>
  </si>
  <si>
    <t>Tiếp địa lặp lại (trụ 12m)</t>
  </si>
  <si>
    <t>9m</t>
  </si>
  <si>
    <t>KE50</t>
  </si>
  <si>
    <t>pvc21</t>
  </si>
  <si>
    <t>TDLL12</t>
  </si>
  <si>
    <t>Tiếp địa lặp lại trụ 12m</t>
  </si>
  <si>
    <t>DTD3</t>
  </si>
  <si>
    <t>TDDD12</t>
  </si>
  <si>
    <t>Tiếp địa trụ recloser và TBA 1 pha</t>
  </si>
  <si>
    <t>TDTT14</t>
  </si>
  <si>
    <t>Tiếp địa lặp lại (trụ 14m)</t>
  </si>
  <si>
    <t>TDTT20</t>
  </si>
  <si>
    <t>Tiếp địa lặp lại (trụ 20m)</t>
  </si>
  <si>
    <t>TDMT</t>
  </si>
  <si>
    <t>Tiếp địa mái tole</t>
  </si>
  <si>
    <t>M25</t>
  </si>
  <si>
    <t>DATD3</t>
  </si>
  <si>
    <t>COS25</t>
  </si>
  <si>
    <t>B1240</t>
  </si>
  <si>
    <t>PVC21</t>
  </si>
  <si>
    <t>KE25</t>
  </si>
  <si>
    <t>TDDD</t>
  </si>
  <si>
    <t>Tiếp địa trụ đo đếm</t>
  </si>
  <si>
    <t>ke50</t>
  </si>
  <si>
    <t>ke25</t>
  </si>
  <si>
    <t>cd21</t>
  </si>
  <si>
    <t>dtd3</t>
  </si>
  <si>
    <t>datd3</t>
  </si>
  <si>
    <t>II</t>
  </si>
  <si>
    <t>Phần trụ</t>
  </si>
  <si>
    <t>TRUTHEP</t>
  </si>
  <si>
    <t>Trụ thép bát giác cao 6m</t>
  </si>
  <si>
    <t>Trụ</t>
  </si>
  <si>
    <t>TRTHEP6</t>
  </si>
  <si>
    <t>G</t>
  </si>
  <si>
    <t>boctr</t>
  </si>
  <si>
    <t>COT</t>
  </si>
  <si>
    <t>BTLT 7.5</t>
  </si>
  <si>
    <t>Trụ bê tông ly tâm 7.5m</t>
  </si>
  <si>
    <t>T75</t>
  </si>
  <si>
    <t>C8m</t>
  </si>
  <si>
    <t>BTLT 8.5</t>
  </si>
  <si>
    <t>Trụ bê tông ly tâm 8.4m</t>
  </si>
  <si>
    <t>T84</t>
  </si>
  <si>
    <t>C10m</t>
  </si>
  <si>
    <t>BTLT 8.4TD</t>
  </si>
  <si>
    <t>Trụ bê tông ly tâm 8.4m có dây tiếp địa</t>
  </si>
  <si>
    <t>T84td</t>
  </si>
  <si>
    <t>N-BTLT 8.4</t>
  </si>
  <si>
    <t>Vật liệu nhổ trụ</t>
  </si>
  <si>
    <t>Nhổ trụ BTLT &lt;10m thủ công +cơ giới</t>
  </si>
  <si>
    <t>N-T-BTLT 8.4</t>
  </si>
  <si>
    <t>Nhổ và trồng trụ 8,4m</t>
  </si>
  <si>
    <t>BTLT 10.5</t>
  </si>
  <si>
    <t>Trụ bê tông ly tâm 10.5m</t>
  </si>
  <si>
    <t>T105</t>
  </si>
  <si>
    <t>C105m</t>
  </si>
  <si>
    <t>N-BTLT 10.5</t>
  </si>
  <si>
    <t>Nhổ trụ bê tông ly tâm 10.5m</t>
  </si>
  <si>
    <t>Nhổ trụ BTLT 10,5m thủ công + cơ giới</t>
  </si>
  <si>
    <t>BTLT 12 TC</t>
  </si>
  <si>
    <t>Trụ bê tông ly tâm 12m trồng thủ công</t>
  </si>
  <si>
    <t>T12</t>
  </si>
  <si>
    <t>C12</t>
  </si>
  <si>
    <t xml:space="preserve">BTLT 12 </t>
  </si>
  <si>
    <t>Trụ bê tông ly tâm 12m trồng thủ công+cơ giới</t>
  </si>
  <si>
    <t>C12m</t>
  </si>
  <si>
    <t>BTLT 12 TĐ</t>
  </si>
  <si>
    <t>Trụ bê tông ly tâm 12m (tiếp địa có sẵn) trồng thủ công+cơ giới</t>
  </si>
  <si>
    <t>T12TĐ</t>
  </si>
  <si>
    <t>BTLT 14</t>
  </si>
  <si>
    <t>Trụ bê tông ly tâm 14m</t>
  </si>
  <si>
    <t>T14</t>
  </si>
  <si>
    <t>C14m</t>
  </si>
  <si>
    <t>BTLT 20</t>
  </si>
  <si>
    <t>Trụ bê tông ly tâm 20m</t>
  </si>
  <si>
    <t>T20</t>
  </si>
  <si>
    <t>C20m</t>
  </si>
  <si>
    <t>III</t>
  </si>
  <si>
    <t>Phần xà, néo</t>
  </si>
  <si>
    <t>X-1,66Đ</t>
  </si>
  <si>
    <t>Bộ xà đơn L75x75x8 dài 1,66m:  X-1,66Đ</t>
  </si>
  <si>
    <t>SL75</t>
  </si>
  <si>
    <t>SL50</t>
  </si>
  <si>
    <t>CSDI</t>
  </si>
  <si>
    <t>B16250</t>
  </si>
  <si>
    <t>B1650</t>
  </si>
  <si>
    <t>LXIT</t>
  </si>
  <si>
    <t>bocx</t>
  </si>
  <si>
    <t>XA</t>
  </si>
  <si>
    <t>X-1,66K</t>
  </si>
  <si>
    <t>Bộ xà kép L75x75x8 dài 1,66m:  X-1,66K</t>
  </si>
  <si>
    <t>B16250v</t>
  </si>
  <si>
    <t>X-22K-Đ</t>
  </si>
  <si>
    <t>Bộ xà kép L75x75x8 dài 2.2m: X-22K-Đ - C810 (lắp trụ đơn)</t>
  </si>
  <si>
    <t>B16300</t>
  </si>
  <si>
    <t>B16300v</t>
  </si>
  <si>
    <t>LXINL</t>
  </si>
  <si>
    <t>X-20Đ</t>
  </si>
  <si>
    <t>Bộ xà đơn L75x75x8 dài 2m:  X-20Đ</t>
  </si>
  <si>
    <t>X-20K</t>
  </si>
  <si>
    <t xml:space="preserve">Bộ xà kép L75x75x8 dài 2m: X-20K </t>
  </si>
  <si>
    <t>LXIN</t>
  </si>
  <si>
    <t>X-22Đ</t>
  </si>
  <si>
    <t>Bộ xà đơn L75x75x8 dài 2.2m: X-22Đ - C810</t>
  </si>
  <si>
    <t>CD bắt xà</t>
  </si>
  <si>
    <t>CDXA</t>
  </si>
  <si>
    <t>LXITL</t>
  </si>
  <si>
    <t>X-22Đ - C920</t>
  </si>
  <si>
    <t>Bộ xà đơn L75x75x8 dài 2.2m: X-22Đ - C920</t>
  </si>
  <si>
    <t>TL X-21K</t>
  </si>
  <si>
    <t xml:space="preserve">Tháo và lắp bộ xà kép L75x75x8 dài 2.1m: X-21K </t>
  </si>
  <si>
    <t>LXID</t>
  </si>
  <si>
    <t>X-22K-K</t>
  </si>
  <si>
    <t>Bộ xà kép L75x75x8 dài 2.2m: X-22K-K - C810 (lắp theo hướng trụ ghép)</t>
  </si>
  <si>
    <t>B16500</t>
  </si>
  <si>
    <t>B16600</t>
  </si>
  <si>
    <t>B16550v</t>
  </si>
  <si>
    <t>X-22K - C920</t>
  </si>
  <si>
    <t>Bộ xà kép L75x75x8 dài 2.2m: X-22K - C920</t>
  </si>
  <si>
    <t>LXINl</t>
  </si>
  <si>
    <t>X-24Đ</t>
  </si>
  <si>
    <t xml:space="preserve">Bộ xà đơn L75x75x8 dài 2.4m: X-24Đ </t>
  </si>
  <si>
    <t>X-24K</t>
  </si>
  <si>
    <t xml:space="preserve">Bộ xà kép L75x75x8 dài 2.4m: X-24K </t>
  </si>
  <si>
    <t>TL X-26K</t>
  </si>
  <si>
    <t xml:space="preserve">Tháo và lắp bộ xà kép L75x75x8 dài 2.6m: X-26K_trụ PI </t>
  </si>
  <si>
    <t>X-8ĐL</t>
  </si>
  <si>
    <t>Bộ xà lệch đơn L75x75x8 dài 0,8m: X-8ĐL</t>
  </si>
  <si>
    <t>X-8KL</t>
  </si>
  <si>
    <t>Bộ xà lệch kép L75x75x8 dài 0,8m: X-8KL</t>
  </si>
  <si>
    <t>B16400</t>
  </si>
  <si>
    <t>B16400V</t>
  </si>
  <si>
    <t>LXINN</t>
  </si>
  <si>
    <t>X-21ĐL</t>
  </si>
  <si>
    <t>Bộ xà lệch đơn L75x75x8 dài 2,1m: X-21ĐL</t>
  </si>
  <si>
    <t>S50</t>
  </si>
  <si>
    <t>LXITl</t>
  </si>
  <si>
    <t>X-21KL</t>
  </si>
  <si>
    <t>Bộ xà lệch kép L75x75x8 dài 2,1m: X-21KL</t>
  </si>
  <si>
    <t>Bộ xà lệch đơn L75x75x8 dài 2m: X-20ĐL2/3</t>
  </si>
  <si>
    <t>X-20KL2/3</t>
  </si>
  <si>
    <t>Bộ xà lệch kép L75x75x8 dài 2m: X-20KL2/3</t>
  </si>
  <si>
    <t>X-24ĐP</t>
  </si>
  <si>
    <t>Bộ xà đơn 2400 trụ Pi tim 1400: X-24ĐP</t>
  </si>
  <si>
    <t>LXHN1</t>
  </si>
  <si>
    <t>X-24KP</t>
  </si>
  <si>
    <t>Bộ xà kép 2400 trụ Pi tim 1400: X-24KP</t>
  </si>
  <si>
    <t>B16300V</t>
  </si>
  <si>
    <t>X-26ĐP</t>
  </si>
  <si>
    <t>Bộ xà đơn 2600 trụ Pi tim 2400: X-26ĐP</t>
  </si>
  <si>
    <t>Sắt góc L75 x75 x8</t>
  </si>
  <si>
    <t>Boulon 16x250+ long đền vuông</t>
  </si>
  <si>
    <t>bộ</t>
  </si>
  <si>
    <t>Lắp xà cột Pi loại ≤140kg/xà</t>
  </si>
  <si>
    <t>Bốc dỡ xà, thép thanh</t>
  </si>
  <si>
    <t>tấn</t>
  </si>
  <si>
    <t>02.1361</t>
  </si>
  <si>
    <t>V/c xà vào vị trí (cư ly &lt;=100m)</t>
  </si>
  <si>
    <t>02.1482</t>
  </si>
  <si>
    <t>V/c dụng cụ thi công ( cự ly &lt;=100m)</t>
  </si>
  <si>
    <t>X-26KP</t>
  </si>
  <si>
    <t>Bộ xà kép 2600 trụ Pi tim 2400: X-26KP</t>
  </si>
  <si>
    <t>Boulon 16x300VRS+ long đền vuông</t>
  </si>
  <si>
    <t>X-28KP</t>
  </si>
  <si>
    <t>Bộ xà kép 2800 trụ Pi tim 1400: X-28KP</t>
  </si>
  <si>
    <t>Giá nới + ty móc Þ16x50, ghép 2PL4x40x350 (2x0,45kg)</t>
  </si>
  <si>
    <t>X-30KP</t>
  </si>
  <si>
    <t>Bộ xà kép 3000 trụ Pi tim 1400: X-30KP</t>
  </si>
  <si>
    <t>S60</t>
  </si>
  <si>
    <t>X-38Đ</t>
  </si>
  <si>
    <t>Bộ xà đỡ đơn L75x75x8 dài 3,8m: X-38Đ</t>
  </si>
  <si>
    <t>X-42KP</t>
  </si>
  <si>
    <t>Bộ xà kép 4200 trụ Pi tim 1700: X-42KP</t>
  </si>
  <si>
    <t>X-24KP500</t>
  </si>
  <si>
    <t>Bộ xà kép 2400 trụ Pi tim 500: X-24KP500</t>
  </si>
  <si>
    <t>Sl50</t>
  </si>
  <si>
    <t>G-20KP</t>
  </si>
  <si>
    <t>Bộ thanh giằng trụ Pi tim 1400: G-20KP</t>
  </si>
  <si>
    <t>cd240</t>
  </si>
  <si>
    <t>cd250</t>
  </si>
  <si>
    <t>B16100</t>
  </si>
  <si>
    <t>G-23KP</t>
  </si>
  <si>
    <t>Bộ thanh giằng trụ Pi tim 1700: G-23KP</t>
  </si>
  <si>
    <t>eke300</t>
  </si>
  <si>
    <t>G-720</t>
  </si>
  <si>
    <t>Bộ thanh giằng trụ Pi tim 500: G-720</t>
  </si>
  <si>
    <t>B16350</t>
  </si>
  <si>
    <t>CODE th-Þ240</t>
  </si>
  <si>
    <t>Bộ CODE lắp néo trung hòa: CODE th-Þ240</t>
  </si>
  <si>
    <t>X-24COMPOSITE</t>
  </si>
  <si>
    <t>Bộ xà composite 2,4m bắt FCO</t>
  </si>
  <si>
    <t>COM110x800x5-2,4</t>
  </si>
  <si>
    <t>com110x800x5</t>
  </si>
  <si>
    <t>com40x10x920</t>
  </si>
  <si>
    <t>B14150</t>
  </si>
  <si>
    <t>CX-ht</t>
  </si>
  <si>
    <t>Bộ chằng xuống đơn cho trụ hạ thế: CX.ht</t>
  </si>
  <si>
    <t>BM16250</t>
  </si>
  <si>
    <t>SN</t>
  </si>
  <si>
    <t>K3B</t>
  </si>
  <si>
    <t>C3/8</t>
  </si>
  <si>
    <t>YC</t>
  </si>
  <si>
    <t>MANG</t>
  </si>
  <si>
    <t>LDN</t>
  </si>
  <si>
    <t>PK</t>
  </si>
  <si>
    <t>T CL-ht</t>
  </si>
  <si>
    <t>Tháo bộ chằng lệch đơn cho trụ hạ thế: CL.ht</t>
  </si>
  <si>
    <t>Tháo bộ dây néo</t>
  </si>
  <si>
    <t>LCL</t>
  </si>
  <si>
    <t>Tháo bộ chống lệch</t>
  </si>
  <si>
    <t>CL-ht</t>
  </si>
  <si>
    <t>Bộ chằng lệch đơn cho trụ hạ thế: CL.ht</t>
  </si>
  <si>
    <t>CLHT</t>
  </si>
  <si>
    <t>CX10-B</t>
  </si>
  <si>
    <t>Bộ chằng xuống đơn cho trụ 10,5m: CX10-B</t>
  </si>
  <si>
    <t>CL10-B</t>
  </si>
  <si>
    <t>Bộ chằng lệch đơn cho trụ 10,5m: CL10-B</t>
  </si>
  <si>
    <t>BM16300</t>
  </si>
  <si>
    <t>CL</t>
  </si>
  <si>
    <t>CXX10-B</t>
  </si>
  <si>
    <t>Bộ chằng xuống kép cho trụ 10,5m: CXX10-B</t>
  </si>
  <si>
    <t>T CX12-B</t>
  </si>
  <si>
    <t>Tháo bộ chằng xuống đơn cho trụ 12m: CX12-B</t>
  </si>
  <si>
    <t>CX12-B</t>
  </si>
  <si>
    <t>Bộ chằng xuống đơn cho trụ 12m: CX12-B</t>
  </si>
  <si>
    <t>C5/8</t>
  </si>
  <si>
    <t>Tháo lắp bộ chằng xuống</t>
  </si>
  <si>
    <t>T CL12-B</t>
  </si>
  <si>
    <t>Tháo bộ chằng lệch đơn cho trụ 12m: CL12-B</t>
  </si>
  <si>
    <t>CL12-B</t>
  </si>
  <si>
    <t>Bộ chằng lệch đơn cho trụ 12m: CL12-B</t>
  </si>
  <si>
    <t>CXX12-B</t>
  </si>
  <si>
    <t>Bộ chằng xuống kép cho trụ 12m: CXX12-B</t>
  </si>
  <si>
    <t>CX14-B</t>
  </si>
  <si>
    <t>Bộ chằng xuống đơn cho trụ 14m: CX14-B</t>
  </si>
  <si>
    <t>CL14-B</t>
  </si>
  <si>
    <t>Bộ chằng lệch đơn cho trụ 14m: CL14-B</t>
  </si>
  <si>
    <t>CXX14-B</t>
  </si>
  <si>
    <t>Bộ chằng xuống kép cho trụ 14m: CXX14-B</t>
  </si>
  <si>
    <t>CK-B</t>
  </si>
  <si>
    <t>Bộ chằng vượt đơn: CK-B</t>
  </si>
  <si>
    <t>CKK-B</t>
  </si>
  <si>
    <t>Bộ chằng vượt kép: CKK-B</t>
  </si>
  <si>
    <t>CX10-C</t>
  </si>
  <si>
    <t>Bộ chằng xuống đơn cho trụ 10,5m: CX10-C</t>
  </si>
  <si>
    <t>cd195</t>
  </si>
  <si>
    <t>mt</t>
  </si>
  <si>
    <t>B16100V</t>
  </si>
  <si>
    <t>XLCD</t>
  </si>
  <si>
    <t>CL10-C</t>
  </si>
  <si>
    <t>Bộ chằng lệch đơn cho trụ 10,5m: CL10-C</t>
  </si>
  <si>
    <t>CXX10-C</t>
  </si>
  <si>
    <t>Bộ chằng xuống kép cho trụ 10,5m: CXX10-C</t>
  </si>
  <si>
    <t>cd220</t>
  </si>
  <si>
    <t>CX12-C</t>
  </si>
  <si>
    <t>Bộ chằng xuống đơn cho trụ 12m: CX12-C</t>
  </si>
  <si>
    <t>CL12-C</t>
  </si>
  <si>
    <t>Bộ chằng lệch đơn cho trụ 12m: CL12-C</t>
  </si>
  <si>
    <t>CXX12-C</t>
  </si>
  <si>
    <t>Bộ chằng xuống kép cho trụ 12m: CXX12-C</t>
  </si>
  <si>
    <t>CX14-C</t>
  </si>
  <si>
    <t>Bộ chằng xuống đơn cho trụ 14m: CX14-C</t>
  </si>
  <si>
    <t>CL14-C</t>
  </si>
  <si>
    <t>Bộ chằng lệch đơn cho trụ 14m: CL14-C</t>
  </si>
  <si>
    <t>B16270</t>
  </si>
  <si>
    <t>CXX14-C</t>
  </si>
  <si>
    <t>Bộ chằng xuống kép cho trụ 14m: CXX14-C</t>
  </si>
  <si>
    <t>CX20-C</t>
  </si>
  <si>
    <t>Bộ chằng xuống đơn cho trụ 20m: CX20-C</t>
  </si>
  <si>
    <t>CK-C</t>
  </si>
  <si>
    <t>Bộ chằng vượt đơn: CK-C</t>
  </si>
  <si>
    <t>CKK-C</t>
  </si>
  <si>
    <t>Bộ chằng vượt kép: CKK-C</t>
  </si>
  <si>
    <t>NXX</t>
  </si>
  <si>
    <t>Bộ móng neo xòe cho chằng xuống: NXX</t>
  </si>
  <si>
    <t>TN2224</t>
  </si>
  <si>
    <t>NX</t>
  </si>
  <si>
    <t>bocNX</t>
  </si>
  <si>
    <t>DCTC</t>
  </si>
  <si>
    <t>NXL</t>
  </si>
  <si>
    <t>Bộ móng neo xòe cho chằng lệch: NXL</t>
  </si>
  <si>
    <t xml:space="preserve">MNX12-2 </t>
  </si>
  <si>
    <t>Bộ móng neo 1200x200 cho chằng xuống: MNX12-2</t>
  </si>
  <si>
    <t>TN30</t>
  </si>
  <si>
    <t>DN0212</t>
  </si>
  <si>
    <t>BT</t>
  </si>
  <si>
    <t>DN</t>
  </si>
  <si>
    <t>MNL12-2</t>
  </si>
  <si>
    <t>Bộ móng neo 1200x200 cho chằng lệch: MNL12-2</t>
  </si>
  <si>
    <t>TN1618</t>
  </si>
  <si>
    <t xml:space="preserve">MNX12-4 </t>
  </si>
  <si>
    <t>Bộ móng neo 1200x400 cho chằng xuống: MNX12-4</t>
  </si>
  <si>
    <t>TN37</t>
  </si>
  <si>
    <t>DN0412</t>
  </si>
  <si>
    <t xml:space="preserve">MNL12-4 </t>
  </si>
  <si>
    <t>Bộ móng neo 1200x400 cho chằng lệch: MNL12-4</t>
  </si>
  <si>
    <t xml:space="preserve">MNX15-4 </t>
  </si>
  <si>
    <t>Bộ móng neo 1500x400 cho chằng xuống: MNX15-4</t>
  </si>
  <si>
    <t>DN0415</t>
  </si>
  <si>
    <t>MNL15-4</t>
  </si>
  <si>
    <t>Bộ móng neo 1500x400 cho chằng lệch: MNL15-4</t>
  </si>
  <si>
    <t xml:space="preserve">MNX15-6 </t>
  </si>
  <si>
    <t>Bộ móng neo 1500x600 cho chằng xuống: MNX15-6</t>
  </si>
  <si>
    <t>DN0615</t>
  </si>
  <si>
    <t xml:space="preserve">MNL15-6 </t>
  </si>
  <si>
    <t>Bộ móng neo 1500x600 cho chằng lệch: MNL15-6</t>
  </si>
  <si>
    <t>IV</t>
  </si>
  <si>
    <t>Phần dây, sứ và phụ kiện</t>
  </si>
  <si>
    <t>DDTT3P-ct</t>
  </si>
  <si>
    <t>a</t>
  </si>
  <si>
    <t>Phần trung thế cải tạo</t>
  </si>
  <si>
    <t>Tbộ</t>
  </si>
  <si>
    <t>AC240</t>
  </si>
  <si>
    <t>AC185</t>
  </si>
  <si>
    <t>AC150</t>
  </si>
  <si>
    <t>AC120</t>
  </si>
  <si>
    <t>AC95</t>
  </si>
  <si>
    <t>AC70</t>
  </si>
  <si>
    <t>AC50</t>
  </si>
  <si>
    <t>ACXV50</t>
  </si>
  <si>
    <t>XLPE240A</t>
  </si>
  <si>
    <t>XLPE185A</t>
  </si>
  <si>
    <t>XLPE150A</t>
  </si>
  <si>
    <t>XLPE120A</t>
  </si>
  <si>
    <t>XLPE95A</t>
  </si>
  <si>
    <t>XLPE70A</t>
  </si>
  <si>
    <t>Đth-U</t>
  </si>
  <si>
    <t>Bộ Uclevis đỡ dây trung hòa: Đth-U</t>
  </si>
  <si>
    <t>R1</t>
  </si>
  <si>
    <t>Nth-U</t>
  </si>
  <si>
    <t>Bộ Uclevis néo dây trung hòa vào trụ: Nth-U</t>
  </si>
  <si>
    <t>K50</t>
  </si>
  <si>
    <t>Nth-T</t>
  </si>
  <si>
    <t>Bộ khóa néo dây trung hòa vào trụ: Nth-T</t>
  </si>
  <si>
    <t>kn50</t>
  </si>
  <si>
    <t>MT</t>
  </si>
  <si>
    <t>Nth-X</t>
  </si>
  <si>
    <t>Bộ khóa néo dây trung hòa vào xà: Nth-X</t>
  </si>
  <si>
    <t>SĐU</t>
  </si>
  <si>
    <t>Bộ cách điện đứng+ty sứ : SĐU</t>
  </si>
  <si>
    <t>SD</t>
  </si>
  <si>
    <t>CSD</t>
  </si>
  <si>
    <t>SĐI</t>
  </si>
  <si>
    <t>Bộ cách điện đỉnh+ty sứ đơn : SĐI</t>
  </si>
  <si>
    <t>SĐG</t>
  </si>
  <si>
    <t>Bộ cách điện đỉnh góc + ty sứ đơn : SĐG</t>
  </si>
  <si>
    <t>CSDG</t>
  </si>
  <si>
    <t>CĐT 2BAT-T</t>
  </si>
  <si>
    <t>Chuỗi sứ treo 2bát 25kV lắp vào trụ : CĐT 2BAT-T</t>
  </si>
  <si>
    <t>chuỗi</t>
  </si>
  <si>
    <t>St</t>
  </si>
  <si>
    <t>VT</t>
  </si>
  <si>
    <t>MND</t>
  </si>
  <si>
    <t>Bm16300</t>
  </si>
  <si>
    <t>CĐT 2BAT-X</t>
  </si>
  <si>
    <t>Chuỗi sứ treo 2bát 24kV lắp vào xà : CĐT 2BAT-X</t>
  </si>
  <si>
    <t>ST</t>
  </si>
  <si>
    <t>CĐT ply-X</t>
  </si>
  <si>
    <t>Chuỗi sứ treo Polymer 25kV lắp vào xà : CĐT ply-X</t>
  </si>
  <si>
    <t>Stply</t>
  </si>
  <si>
    <t>Bộ khóa néo, đỡ dây</t>
  </si>
  <si>
    <t>KD240</t>
  </si>
  <si>
    <t>KD185</t>
  </si>
  <si>
    <t>KD150</t>
  </si>
  <si>
    <t>KD120</t>
  </si>
  <si>
    <t>KD95</t>
  </si>
  <si>
    <t>KD70</t>
  </si>
  <si>
    <t>KD50</t>
  </si>
  <si>
    <t>KN240</t>
  </si>
  <si>
    <t>KN185</t>
  </si>
  <si>
    <t>KN150</t>
  </si>
  <si>
    <t>KN120</t>
  </si>
  <si>
    <t>KN95</t>
  </si>
  <si>
    <t>KN70</t>
  </si>
  <si>
    <t>KN50</t>
  </si>
  <si>
    <t>k50</t>
  </si>
  <si>
    <t>k70</t>
  </si>
  <si>
    <t>k95</t>
  </si>
  <si>
    <t>KQ2/0</t>
  </si>
  <si>
    <t>KH2/0</t>
  </si>
  <si>
    <t>ke95</t>
  </si>
  <si>
    <t>kE150</t>
  </si>
  <si>
    <t>ke185</t>
  </si>
  <si>
    <t>kE240</t>
  </si>
  <si>
    <t>cose70</t>
  </si>
  <si>
    <t>cose95</t>
  </si>
  <si>
    <t>cose120</t>
  </si>
  <si>
    <t>cose150</t>
  </si>
  <si>
    <t>cose185</t>
  </si>
  <si>
    <t>cose240</t>
  </si>
  <si>
    <t>B1230</t>
  </si>
  <si>
    <t>KQ4/0</t>
  </si>
  <si>
    <t>KH4/0</t>
  </si>
  <si>
    <t>ON50</t>
  </si>
  <si>
    <t>ON70</t>
  </si>
  <si>
    <t>ON95</t>
  </si>
  <si>
    <t>ON120</t>
  </si>
  <si>
    <t>ON150</t>
  </si>
  <si>
    <t>ON185</t>
  </si>
  <si>
    <t>ON240</t>
  </si>
  <si>
    <t>DAYA</t>
  </si>
  <si>
    <t>bnh</t>
  </si>
  <si>
    <t>KDAC50</t>
  </si>
  <si>
    <t>Thu hồi dây nhôm lõi thép AC 50mm2</t>
  </si>
  <si>
    <t>KDAC70</t>
  </si>
  <si>
    <t>KDAC95</t>
  </si>
  <si>
    <t>KDAC120</t>
  </si>
  <si>
    <t>KDAC150</t>
  </si>
  <si>
    <t>KDACXV50</t>
  </si>
  <si>
    <t>KDAC185</t>
  </si>
  <si>
    <t>KDAC240</t>
  </si>
  <si>
    <t>KDA70B</t>
  </si>
  <si>
    <t>KDA95B</t>
  </si>
  <si>
    <t>KDA120B</t>
  </si>
  <si>
    <t>KDA150B</t>
  </si>
  <si>
    <t>KDA185B</t>
  </si>
  <si>
    <t>KDA240B</t>
  </si>
  <si>
    <t>LCHSD</t>
  </si>
  <si>
    <t>LCHSN</t>
  </si>
  <si>
    <t>LCHSNply</t>
  </si>
  <si>
    <t>Tháo chuỗi sứ néo polymer</t>
  </si>
  <si>
    <t>lsd</t>
  </si>
  <si>
    <t>Lắp sứ đứng 24KV</t>
  </si>
  <si>
    <t>LSOC</t>
  </si>
  <si>
    <t>tháo uclevis + sứ ống chỉ</t>
  </si>
  <si>
    <t>LR3</t>
  </si>
  <si>
    <t>Tháo R3 + sứ ống chỉ</t>
  </si>
  <si>
    <t>LFCO</t>
  </si>
  <si>
    <t>Tháo FCO 24kV - 100A</t>
  </si>
  <si>
    <t>LA18</t>
  </si>
  <si>
    <t>Tháo LA 18kV 10kA</t>
  </si>
  <si>
    <t>Lắp LA 18kV 10kA</t>
  </si>
  <si>
    <t>LGFCO</t>
  </si>
  <si>
    <t>Tháo giá đỡ FCO</t>
  </si>
  <si>
    <t>Lắp giá đỡ FCO</t>
  </si>
  <si>
    <t>KDQG2</t>
  </si>
  <si>
    <t>KDQS</t>
  </si>
  <si>
    <t>bocd</t>
  </si>
  <si>
    <t>DAY</t>
  </si>
  <si>
    <t>DDTT3P2m-m</t>
  </si>
  <si>
    <t>b</t>
  </si>
  <si>
    <t>Phân trung thế 3 pha XD mới 2 mạch</t>
  </si>
  <si>
    <t>kn120</t>
  </si>
  <si>
    <t>KE120</t>
  </si>
  <si>
    <t>Chuỗi sứ đỡ 2bát 25kV lắp vào trụ : CĐT 2BAT-T</t>
  </si>
  <si>
    <t>CĐT pty-X</t>
  </si>
  <si>
    <t>Chuỗi sứ treo Polymer 25kV lắp vào xà : CĐT 2BAT-X</t>
  </si>
  <si>
    <t>Chuỗi sứ treo 2 bat 25kV lắp vào xà : CĐT ply-X</t>
  </si>
  <si>
    <t>GNIU</t>
  </si>
  <si>
    <t>ke120</t>
  </si>
  <si>
    <t>ke240</t>
  </si>
  <si>
    <t>k240</t>
  </si>
  <si>
    <t>LSD</t>
  </si>
  <si>
    <t>LCSD</t>
  </si>
  <si>
    <t>DDTT3P1m-m</t>
  </si>
  <si>
    <t>Phần trung thế 3 pha xây dựng mới</t>
  </si>
  <si>
    <t>XLPE50A</t>
  </si>
  <si>
    <t>XLPE50</t>
  </si>
  <si>
    <t>M38</t>
  </si>
  <si>
    <t>Bộ Uclevis đỡ dây trung hòa: Đth-U (trụ đơn)</t>
  </si>
  <si>
    <t>Đth-U-g</t>
  </si>
  <si>
    <t>Bộ Uclevis đỡ dây trung hòa trụ ghép: Đth-U-g (trụ ghép)</t>
  </si>
  <si>
    <t>B16600v</t>
  </si>
  <si>
    <t>Đth-X</t>
  </si>
  <si>
    <t>Bộ Uclevis đỡ dây trung hòa vào xà: Đth-X</t>
  </si>
  <si>
    <t>Nth-T-g</t>
  </si>
  <si>
    <t>Bộ khóa néo dây trung hòa vào trụ: Nth-T-g</t>
  </si>
  <si>
    <t>BulonVRS + ĐO</t>
  </si>
  <si>
    <t>Bộ khóa néo dây trung hòa vào xa: Nth-X</t>
  </si>
  <si>
    <t>Chuỗi sứ treo 2bát 25kV lắp vào xà : CĐT 2BAT-X</t>
  </si>
  <si>
    <t>CĐTply-X</t>
  </si>
  <si>
    <t>kn185</t>
  </si>
  <si>
    <t>kn240</t>
  </si>
  <si>
    <t>CĐTply-T</t>
  </si>
  <si>
    <t>Chuỗi sứ treo Polymer 25kV lắp vào trụ: CĐT ply-T</t>
  </si>
  <si>
    <t>cdtru140</t>
  </si>
  <si>
    <t>Cổ dê băt xà</t>
  </si>
  <si>
    <t>B1040</t>
  </si>
  <si>
    <t>Phụ kiện đấu nối đầu đường dây</t>
  </si>
  <si>
    <t>oxc25</t>
  </si>
  <si>
    <t>oxc50</t>
  </si>
  <si>
    <t>ke35</t>
  </si>
  <si>
    <t>ke70</t>
  </si>
  <si>
    <t>ke150</t>
  </si>
  <si>
    <t>k150</t>
  </si>
  <si>
    <t>k185</t>
  </si>
  <si>
    <t>cose50</t>
  </si>
  <si>
    <t>cos95</t>
  </si>
  <si>
    <t>cos120</t>
  </si>
  <si>
    <t>cos150</t>
  </si>
  <si>
    <t xml:space="preserve">KQ2/0 </t>
  </si>
  <si>
    <t>XLPE25</t>
  </si>
  <si>
    <t>CHQ-H</t>
  </si>
  <si>
    <t>CDTRUDOI</t>
  </si>
  <si>
    <t>B16500V</t>
  </si>
  <si>
    <t>R2</t>
  </si>
  <si>
    <t>R3</t>
  </si>
  <si>
    <t>R4</t>
  </si>
  <si>
    <t>b16350</t>
  </si>
  <si>
    <t>batli</t>
  </si>
  <si>
    <t>batliA</t>
  </si>
  <si>
    <t>DAYA70</t>
  </si>
  <si>
    <t>CCĐfco</t>
  </si>
  <si>
    <t>KDM25</t>
  </si>
  <si>
    <t>KDM25b</t>
  </si>
  <si>
    <t>KDM50b</t>
  </si>
  <si>
    <t>KDA50B</t>
  </si>
  <si>
    <t xml:space="preserve">Tháo chuỗi sứ néo Polymer đường dây 1 pha </t>
  </si>
  <si>
    <t>LSD_T</t>
  </si>
  <si>
    <t>Tháo chuỗi sứ néo 2 bát/chuỗi hiện hữu: sử dụng lại</t>
  </si>
  <si>
    <t>la18</t>
  </si>
  <si>
    <t>GIATFCO</t>
  </si>
  <si>
    <t>Tháo giá T hiện hữu đầu nhánh: trả điện lực Thống Nhất</t>
  </si>
  <si>
    <t>GUFCO</t>
  </si>
  <si>
    <t>Tháo sứ đỉnh hiện hữu: sử dụng lại sứ, thu hồi ty sứ</t>
  </si>
  <si>
    <t>Tháo lắp bộ chằng xuống (tháo + lắp)</t>
  </si>
  <si>
    <t>Tháo rack sứ + sứ ống chỉ</t>
  </si>
  <si>
    <t>Lr2</t>
  </si>
  <si>
    <t>lr3</t>
  </si>
  <si>
    <t>Tháo rack 3 sứ + sứ ống chỉ</t>
  </si>
  <si>
    <t>Lr3</t>
  </si>
  <si>
    <t>lr4</t>
  </si>
  <si>
    <t>Tháo rack 4 sứ + sứ ống chỉ</t>
  </si>
  <si>
    <t>Lr4</t>
  </si>
  <si>
    <t>DDTT1P-m</t>
  </si>
  <si>
    <t>Phần trung thế 1 pha XD mới</t>
  </si>
  <si>
    <t>Chuỗi sứ treo Polymer 25kV lắp vào trụ : CĐT ply-T</t>
  </si>
  <si>
    <t>KDPLY</t>
  </si>
  <si>
    <t>Chuỗi sứ đỡ 2bát 25kV lắp vào xà : CĐT 2BAT-X</t>
  </si>
  <si>
    <t>kn70</t>
  </si>
  <si>
    <t>kE50</t>
  </si>
  <si>
    <t>ccdqu</t>
  </si>
  <si>
    <t>c3/8</t>
  </si>
  <si>
    <t>BBD</t>
  </si>
  <si>
    <t>GDFCO</t>
  </si>
  <si>
    <t>chfco</t>
  </si>
  <si>
    <t>Kéo dây vượt sông</t>
  </si>
  <si>
    <t>DDHTDL</t>
  </si>
  <si>
    <t>Phần hạ thế độc lập xây dựng mới</t>
  </si>
  <si>
    <t>AV95</t>
  </si>
  <si>
    <t>AV50</t>
  </si>
  <si>
    <t>ABC3x50</t>
  </si>
  <si>
    <t>ABC3x70</t>
  </si>
  <si>
    <t>ABC4x50</t>
  </si>
  <si>
    <t>ABC3x95</t>
  </si>
  <si>
    <t>ABC4x95</t>
  </si>
  <si>
    <t>ABC4x150</t>
  </si>
  <si>
    <t>XLPE350+35DHT</t>
  </si>
  <si>
    <t>cv25</t>
  </si>
  <si>
    <t>COSE50</t>
  </si>
  <si>
    <t>COSE70</t>
  </si>
  <si>
    <t>B1250TH</t>
  </si>
  <si>
    <t>GIP50-25</t>
  </si>
  <si>
    <t>GIP50-50</t>
  </si>
  <si>
    <t>Ghíp nối IPC 70-35 2 bulong</t>
  </si>
  <si>
    <t>GIP70-70</t>
  </si>
  <si>
    <t>GIP95-70</t>
  </si>
  <si>
    <t>GIP150-70</t>
  </si>
  <si>
    <t>GIP95-150</t>
  </si>
  <si>
    <t>GIP95-35</t>
  </si>
  <si>
    <t>GIP95-95</t>
  </si>
  <si>
    <t>GIP95-50</t>
  </si>
  <si>
    <t>COS70</t>
  </si>
  <si>
    <t>KE399</t>
  </si>
  <si>
    <t>HOP6C</t>
  </si>
  <si>
    <t>CV25</t>
  </si>
  <si>
    <t>KTREO120</t>
  </si>
  <si>
    <t>KTREO95</t>
  </si>
  <si>
    <t>Kẹp treo cáp ABC4x95mm2</t>
  </si>
  <si>
    <t>KTREO70</t>
  </si>
  <si>
    <t>KTREO50</t>
  </si>
  <si>
    <t>MTREO A</t>
  </si>
  <si>
    <t>KNGUNG150</t>
  </si>
  <si>
    <t>KNGUNG95</t>
  </si>
  <si>
    <t>KNGUNG70</t>
  </si>
  <si>
    <t>KNGUNG50</t>
  </si>
  <si>
    <t>BIT150</t>
  </si>
  <si>
    <t>BIT95</t>
  </si>
  <si>
    <t>BIT70</t>
  </si>
  <si>
    <t>BIT50</t>
  </si>
  <si>
    <t>BIT35</t>
  </si>
  <si>
    <t>TDLLCD</t>
  </si>
  <si>
    <t>ATM125.</t>
  </si>
  <si>
    <t>cv95</t>
  </si>
  <si>
    <t>cosE95</t>
  </si>
  <si>
    <t>HopCBpd</t>
  </si>
  <si>
    <t>pvc90</t>
  </si>
  <si>
    <t>cut90t</t>
  </si>
  <si>
    <t>cd90</t>
  </si>
  <si>
    <t>keobit</t>
  </si>
  <si>
    <t>keodan</t>
  </si>
  <si>
    <t>mocdung</t>
  </si>
  <si>
    <t xml:space="preserve">MTREO </t>
  </si>
  <si>
    <t>r2</t>
  </si>
  <si>
    <t>r3</t>
  </si>
  <si>
    <t>r4s</t>
  </si>
  <si>
    <t>TUPP</t>
  </si>
  <si>
    <t>PVC60</t>
  </si>
  <si>
    <t>CD60</t>
  </si>
  <si>
    <t>CUT60</t>
  </si>
  <si>
    <t>CUT42</t>
  </si>
  <si>
    <t>abc4x150</t>
  </si>
  <si>
    <t>pvc114</t>
  </si>
  <si>
    <t>cut114t</t>
  </si>
  <si>
    <t>CD114</t>
  </si>
  <si>
    <t>BMoc16250</t>
  </si>
  <si>
    <t>BMoc16300</t>
  </si>
  <si>
    <t>cdtrudoiHT</t>
  </si>
  <si>
    <t>BANGKEO</t>
  </si>
  <si>
    <t>TUN</t>
  </si>
  <si>
    <t>KCN4KG</t>
  </si>
  <si>
    <t>KCN3KG</t>
  </si>
  <si>
    <t>KDAABC150</t>
  </si>
  <si>
    <t>KDAABC95</t>
  </si>
  <si>
    <t>KDAABC50</t>
  </si>
  <si>
    <t>Kéo dây ABC 3x50mm2</t>
  </si>
  <si>
    <t>LR2</t>
  </si>
  <si>
    <t>LR4</t>
  </si>
  <si>
    <t>LBNH</t>
  </si>
  <si>
    <t>DDHTHH</t>
  </si>
  <si>
    <t>c</t>
  </si>
  <si>
    <t>Phần hạ thế cải tạo</t>
  </si>
  <si>
    <t>Duplex 211</t>
  </si>
  <si>
    <t>r1</t>
  </si>
  <si>
    <t>r4</t>
  </si>
  <si>
    <t>soc</t>
  </si>
  <si>
    <t>Lsoc</t>
  </si>
  <si>
    <t>f</t>
  </si>
  <si>
    <t>Phần hạ thế chiếu sáng</t>
  </si>
  <si>
    <t>Duplex 316</t>
  </si>
  <si>
    <t>Duplex 411</t>
  </si>
  <si>
    <t>Duplex 416</t>
  </si>
  <si>
    <t>abc4x50</t>
  </si>
  <si>
    <t>CV16</t>
  </si>
  <si>
    <t>CV2,5</t>
  </si>
  <si>
    <t>CVV2x2,5</t>
  </si>
  <si>
    <t>CDDOI</t>
  </si>
  <si>
    <t>CDDON+C</t>
  </si>
  <si>
    <t>cd-sonadezi</t>
  </si>
  <si>
    <t>DEN</t>
  </si>
  <si>
    <t>tudkcs</t>
  </si>
  <si>
    <t>cut60</t>
  </si>
  <si>
    <t>DCAPHT350</t>
  </si>
  <si>
    <t>GIP150-50</t>
  </si>
  <si>
    <t>COSE16</t>
  </si>
  <si>
    <t>COS2,5</t>
  </si>
  <si>
    <t>CHI5</t>
  </si>
  <si>
    <t>BAKE6200</t>
  </si>
  <si>
    <t>KTREO35</t>
  </si>
  <si>
    <t>KNGUNG35</t>
  </si>
  <si>
    <t>GIP35-35</t>
  </si>
  <si>
    <t>BMOC16250</t>
  </si>
  <si>
    <t>BMOC16300</t>
  </si>
  <si>
    <t>keu50</t>
  </si>
  <si>
    <t>STK60</t>
  </si>
  <si>
    <t>STK42</t>
  </si>
  <si>
    <t>PVC42</t>
  </si>
  <si>
    <t>LPVC60CL CS</t>
  </si>
  <si>
    <t>LSTK120d CS</t>
  </si>
  <si>
    <t>KCAPDEN</t>
  </si>
  <si>
    <t>LDAUCAPCS</t>
  </si>
  <si>
    <t>LCAN+c</t>
  </si>
  <si>
    <t>LDEN</t>
  </si>
  <si>
    <t>LUONDAY</t>
  </si>
  <si>
    <t>lcauchi</t>
  </si>
  <si>
    <t>LBAKE</t>
  </si>
  <si>
    <t>Hotline</t>
  </si>
  <si>
    <t>V</t>
  </si>
  <si>
    <t>Phần đấu nối HOTLINE</t>
  </si>
  <si>
    <t>LSDHL-DX</t>
  </si>
  <si>
    <t>LCHSNplyHL</t>
  </si>
  <si>
    <t>DN CL</t>
  </si>
  <si>
    <t>LXHL</t>
  </si>
  <si>
    <t>LSDHL-V</t>
  </si>
  <si>
    <t>LFCOHL</t>
  </si>
  <si>
    <t>LLAHL</t>
  </si>
  <si>
    <t>TBDD3pct</t>
  </si>
  <si>
    <t>VI</t>
  </si>
  <si>
    <t>Phần thiết bị đường dây 3 pha cải tạo</t>
  </si>
  <si>
    <t>LTD</t>
  </si>
  <si>
    <t>chi12k</t>
  </si>
  <si>
    <t>ccđfco</t>
  </si>
  <si>
    <t>DS1P</t>
  </si>
  <si>
    <t>DS3p</t>
  </si>
  <si>
    <t>LBS 16</t>
  </si>
  <si>
    <t>Recloser</t>
  </si>
  <si>
    <t>TBDD3p2m</t>
  </si>
  <si>
    <t>Phần thiết bị đường dây 3 pha XDM 2 mạch</t>
  </si>
  <si>
    <t>DS3P</t>
  </si>
  <si>
    <t>LA12</t>
  </si>
  <si>
    <t>TBDD3p1m</t>
  </si>
  <si>
    <t>Phần thiết bị đường dây 3 pha 1 mạch</t>
  </si>
  <si>
    <t>LTD6</t>
  </si>
  <si>
    <t>chi80K</t>
  </si>
  <si>
    <t>chi100K</t>
  </si>
  <si>
    <t>chi8k</t>
  </si>
  <si>
    <t>ti20</t>
  </si>
  <si>
    <t>dk3dt</t>
  </si>
  <si>
    <t>batLI</t>
  </si>
  <si>
    <t>TĐĐ</t>
  </si>
  <si>
    <t>VIII</t>
  </si>
  <si>
    <t>Phần vật liệu trụ đo đếm</t>
  </si>
  <si>
    <t>CVV4X2,5</t>
  </si>
  <si>
    <t>xAtuti</t>
  </si>
  <si>
    <t>D16/10</t>
  </si>
  <si>
    <t>CD25x2</t>
  </si>
  <si>
    <t>CUT42T</t>
  </si>
  <si>
    <t>NPVC42</t>
  </si>
  <si>
    <t>KEO</t>
  </si>
  <si>
    <t>KVRT42</t>
  </si>
  <si>
    <t>KVRN42</t>
  </si>
  <si>
    <t>bangnhua</t>
  </si>
  <si>
    <t>TUDKDT</t>
  </si>
  <si>
    <t>cd320</t>
  </si>
  <si>
    <t>M5M</t>
  </si>
  <si>
    <t>b12150</t>
  </si>
  <si>
    <t>sl50</t>
  </si>
  <si>
    <t>b1260</t>
  </si>
  <si>
    <t>TBDD1p</t>
  </si>
  <si>
    <t>Phần thiết bị đường dây trung thế 1 pha XDM</t>
  </si>
  <si>
    <t>chi8K</t>
  </si>
  <si>
    <t>chi10K</t>
  </si>
  <si>
    <t>TBHT</t>
  </si>
  <si>
    <t xml:space="preserve">Phần thiết bị đường dây hạ thế </t>
  </si>
  <si>
    <t>DK3P</t>
  </si>
  <si>
    <t>TI1005</t>
  </si>
  <si>
    <t>ATM100</t>
  </si>
  <si>
    <t>COTATOR</t>
  </si>
  <si>
    <t>BBVS</t>
  </si>
  <si>
    <t>XI</t>
  </si>
  <si>
    <t>Phần biển báo vượt sông</t>
  </si>
  <si>
    <t>CBH9</t>
  </si>
  <si>
    <t>Cột báo hiệu cao 9m</t>
  </si>
  <si>
    <t>Cột</t>
  </si>
  <si>
    <t>SO12</t>
  </si>
  <si>
    <t>thept6</t>
  </si>
  <si>
    <t>B1250</t>
  </si>
  <si>
    <t>qhan</t>
  </si>
  <si>
    <t>soncr</t>
  </si>
  <si>
    <t>son</t>
  </si>
  <si>
    <t>oxy</t>
  </si>
  <si>
    <t>axetylen</t>
  </si>
  <si>
    <t>coson</t>
  </si>
  <si>
    <t>LCbh9</t>
  </si>
  <si>
    <t>SonCBH</t>
  </si>
  <si>
    <t>VCT</t>
  </si>
  <si>
    <t>BBH1212</t>
  </si>
  <si>
    <t>Biển báo hiệu 1.2mx1.2m</t>
  </si>
  <si>
    <t>Biển</t>
  </si>
  <si>
    <t>SL45</t>
  </si>
  <si>
    <t>Thept4</t>
  </si>
  <si>
    <t>Thept2</t>
  </si>
  <si>
    <t>LBbh</t>
  </si>
  <si>
    <t>SonBBH</t>
  </si>
  <si>
    <t>MCBH1212</t>
  </si>
  <si>
    <t>Móng cột báo hiệu 1.2mx1.2m</t>
  </si>
  <si>
    <t>D1x2</t>
  </si>
  <si>
    <t>D4x6</t>
  </si>
  <si>
    <t>NU</t>
  </si>
  <si>
    <t>Thepb</t>
  </si>
  <si>
    <t>CT25</t>
  </si>
  <si>
    <t>MDD2</t>
  </si>
  <si>
    <t>MDAp2</t>
  </si>
  <si>
    <t>XIMANG</t>
  </si>
  <si>
    <t>DADAM</t>
  </si>
  <si>
    <t>Mã</t>
  </si>
  <si>
    <t>MHĐG</t>
  </si>
  <si>
    <t>NTVT</t>
  </si>
  <si>
    <t>D12</t>
  </si>
  <si>
    <t>04.4001</t>
  </si>
  <si>
    <t>Đà cản BTCT 1,2m</t>
  </si>
  <si>
    <t>D15</t>
  </si>
  <si>
    <t>04.3801</t>
  </si>
  <si>
    <t>Đà cản BTCT 1,5m</t>
  </si>
  <si>
    <t>D20</t>
  </si>
  <si>
    <t>04.3802</t>
  </si>
  <si>
    <t>Đà cản BTCT 2,0m</t>
  </si>
  <si>
    <t>D25</t>
  </si>
  <si>
    <t>Đà cản BTCT 2,5m</t>
  </si>
  <si>
    <t>Đế neo BTCT 200x1200</t>
  </si>
  <si>
    <t>Đế neo BTCT 400x1200</t>
  </si>
  <si>
    <t>Đế neo BTCT 400x1500</t>
  </si>
  <si>
    <t>Đế neo BTCT 600x1500</t>
  </si>
  <si>
    <t>DN0618</t>
  </si>
  <si>
    <t>Đế neo BTCT 600x1800</t>
  </si>
  <si>
    <t>DN1500</t>
  </si>
  <si>
    <t>Đế neo BTCT 1500x500</t>
  </si>
  <si>
    <t>DN1200</t>
  </si>
  <si>
    <t>Đế neo BTCT 1200x500</t>
  </si>
  <si>
    <t>BNH</t>
  </si>
  <si>
    <t>Biển số - Bảng nguy hiểm</t>
  </si>
  <si>
    <t>Biển báo độ cao</t>
  </si>
  <si>
    <t>B460</t>
  </si>
  <si>
    <t>B630</t>
  </si>
  <si>
    <t>B1030TH</t>
  </si>
  <si>
    <t>B1050</t>
  </si>
  <si>
    <t>B10250</t>
  </si>
  <si>
    <t>B1260</t>
  </si>
  <si>
    <t>B1280</t>
  </si>
  <si>
    <t>B12100</t>
  </si>
  <si>
    <t>B12150</t>
  </si>
  <si>
    <t>B12200</t>
  </si>
  <si>
    <t>B1230TH</t>
  </si>
  <si>
    <t>B1240TH</t>
  </si>
  <si>
    <t>B14100</t>
  </si>
  <si>
    <t>B1635</t>
  </si>
  <si>
    <t>B1640</t>
  </si>
  <si>
    <t>B16150</t>
  </si>
  <si>
    <t>B16200</t>
  </si>
  <si>
    <t>B16230</t>
  </si>
  <si>
    <t>B16240</t>
  </si>
  <si>
    <t>B16260</t>
  </si>
  <si>
    <t>B16280</t>
  </si>
  <si>
    <t>B16320</t>
  </si>
  <si>
    <t>B16450</t>
  </si>
  <si>
    <t>B1680V</t>
  </si>
  <si>
    <t>Boulon 16x80VRS+ 4 long đền vuông D18-50x50x3/Zn</t>
  </si>
  <si>
    <t>Boulon 16x100VRS+ 4 long đền vuông D18-50x50x3/Zn</t>
  </si>
  <si>
    <t>B16200V</t>
  </si>
  <si>
    <t>Boulon 16x200VRS+ 4 long đền vuông D18-50x50x3/Zn</t>
  </si>
  <si>
    <t>B16250V</t>
  </si>
  <si>
    <t>Boulon 16x250VRS+ 4 long đền vuông D18-50x50x3/Zn</t>
  </si>
  <si>
    <t>B16350V</t>
  </si>
  <si>
    <t>Boulon 16x350VRS+ 4 long đền vuông D18-50x50x3/Zn</t>
  </si>
  <si>
    <t>B16400v</t>
  </si>
  <si>
    <t>Boulon 16x400VRS+ 4 long đền vuông D18-50x50x3/Zn</t>
  </si>
  <si>
    <t>Boulon 16x500VRS+ 4 long đền vuông D18-50x50x3/Zn</t>
  </si>
  <si>
    <t>B16550V</t>
  </si>
  <si>
    <t>Boulon 16x550VRS+ 4 long đền vuông D18-50x50x3/Zn</t>
  </si>
  <si>
    <t>B16600V</t>
  </si>
  <si>
    <t>Boulon 16x600VRS+ 4 long đền vuông D18-50x50x3/Zn</t>
  </si>
  <si>
    <t>B16650V</t>
  </si>
  <si>
    <t>Boulon 16x650VRS+ 4 long đền vuông D18-50x50x3/Zn</t>
  </si>
  <si>
    <t>B16700V</t>
  </si>
  <si>
    <t>Boulon 16x700VRS+ 4 long đền vuông D18-50x50x3/Zn</t>
  </si>
  <si>
    <t>B22260</t>
  </si>
  <si>
    <t>B22450</t>
  </si>
  <si>
    <t>B22500</t>
  </si>
  <si>
    <t>B22550</t>
  </si>
  <si>
    <t>B22600</t>
  </si>
  <si>
    <t>B22650</t>
  </si>
  <si>
    <t>B22700</t>
  </si>
  <si>
    <t>B22750</t>
  </si>
  <si>
    <t>B22800</t>
  </si>
  <si>
    <t>B22850</t>
  </si>
  <si>
    <t>B221000</t>
  </si>
  <si>
    <t>B22500C</t>
  </si>
  <si>
    <t>B30800</t>
  </si>
  <si>
    <t>B301000</t>
  </si>
  <si>
    <t>BM16230</t>
  </si>
  <si>
    <t>LD tron</t>
  </si>
  <si>
    <t>Long đền tròn 12-14-16-18</t>
  </si>
  <si>
    <t>LD 40</t>
  </si>
  <si>
    <t>Long đền vuông 14-22 (50x50x3)</t>
  </si>
  <si>
    <t>LD 60</t>
  </si>
  <si>
    <t>Long đền vuông 18-24 (60x60x6)</t>
  </si>
  <si>
    <t>BATLI</t>
  </si>
  <si>
    <t>Bass LI bắt FCO</t>
  </si>
  <si>
    <t>BATLIA</t>
  </si>
  <si>
    <t>Bass LI bắt LA</t>
  </si>
  <si>
    <t>BATLL</t>
  </si>
  <si>
    <t>Bass LL bắt FCO và LA</t>
  </si>
  <si>
    <t>04.5142</t>
  </si>
  <si>
    <t>Cừ tràm 2,5m</t>
  </si>
  <si>
    <t>CT3</t>
  </si>
  <si>
    <t>Cừ tràm 3m</t>
  </si>
  <si>
    <t>Cong D1000x1000mm</t>
  </si>
  <si>
    <t>Cong D1000x400mm</t>
  </si>
  <si>
    <t>CT5</t>
  </si>
  <si>
    <t>Cừ tràm 5m</t>
  </si>
  <si>
    <t>MongTB</t>
  </si>
  <si>
    <t>Móng đặt tủ bù (0,2x0,2x0,4)x4 móng</t>
  </si>
  <si>
    <t>Trọn bộ</t>
  </si>
  <si>
    <t>M11</t>
  </si>
  <si>
    <t>Cáp đồng trần M11mm2</t>
  </si>
  <si>
    <t>M22</t>
  </si>
  <si>
    <t>Cáp đồng trần M22mm2</t>
  </si>
  <si>
    <t>Cáp đồng trần M25mm2</t>
  </si>
  <si>
    <t>Cáp đồng trần M38mm2</t>
  </si>
  <si>
    <t>MTBU</t>
  </si>
  <si>
    <t>Bộ móng tủ bù 0,2x0,2x0,4x4móng</t>
  </si>
  <si>
    <t>trọn bộ</t>
  </si>
  <si>
    <t>M50</t>
  </si>
  <si>
    <t>Cáp đồng trần M50mm2</t>
  </si>
  <si>
    <t>XLPE22</t>
  </si>
  <si>
    <t>Cáp 24KV C/XLPE/PVC 22mm2</t>
  </si>
  <si>
    <t>Cáp 24KV C/XLPE/PVC 25mm2</t>
  </si>
  <si>
    <t>XLPE35</t>
  </si>
  <si>
    <t>Cáp 24KV C/XLPE/PVC 35mm2</t>
  </si>
  <si>
    <t>Cáp 24KV C/XLPE/PVC 50mm2</t>
  </si>
  <si>
    <t>XLPE70</t>
  </si>
  <si>
    <t>Cáp 24KV C/XLPE/PVC 70mm2</t>
  </si>
  <si>
    <t>XLPE95</t>
  </si>
  <si>
    <t>Cáp 24KV C/XLPE/PVC 95mm2</t>
  </si>
  <si>
    <t>XLPE120</t>
  </si>
  <si>
    <t>Cáp 24KV C/XLPE/PVC 120mm2</t>
  </si>
  <si>
    <t>XLPE150</t>
  </si>
  <si>
    <t>Cáp 24KV C/XLPE/PVC 150mm2</t>
  </si>
  <si>
    <t>XLPE185</t>
  </si>
  <si>
    <t>Cáp 24KV C/XLPE/PVC 185mm2</t>
  </si>
  <si>
    <t>XLPE240</t>
  </si>
  <si>
    <t>Cáp 24KV C/XLPE/PVC 240mm2</t>
  </si>
  <si>
    <t>XLPE250</t>
  </si>
  <si>
    <t>Cáp 24KV C/XLPE/PVC 250mm2</t>
  </si>
  <si>
    <t>XLPE25A</t>
  </si>
  <si>
    <t>Cáp 24KV A/XLPE/PVC 25mm2</t>
  </si>
  <si>
    <t>XLPE35A</t>
  </si>
  <si>
    <t>Cáp 24KV A/XLPE/PVC 35mm2</t>
  </si>
  <si>
    <t>Cáp 24KV A/XLPE/PVC 50mm2</t>
  </si>
  <si>
    <t>Cáp 24KV A/XLPE/PVC 70mm2</t>
  </si>
  <si>
    <t>Cáp 24KV A/XLPE/PVC 95mm2</t>
  </si>
  <si>
    <t>Cáp 24KV A/XLPE/PVC 120mm2</t>
  </si>
  <si>
    <t>Cáp 24KV A/XLPE/PVC 150mm2</t>
  </si>
  <si>
    <t>Cáp 24KV A/XLPE/PVC 185mm2</t>
  </si>
  <si>
    <t>Cáp 24KV A/XLPE/PVC 240mm2</t>
  </si>
  <si>
    <t>XLPE211HT</t>
  </si>
  <si>
    <t>Cáp C/XLPE/PVC -0.6/1kV-2x11mm2</t>
  </si>
  <si>
    <t>XLPE216HT</t>
  </si>
  <si>
    <t>Cáp C/XLPE/PVC -0.6/1kV-2x16mm2</t>
  </si>
  <si>
    <t>XLPE316HT</t>
  </si>
  <si>
    <t>Cáp C/XLPE/PVC -0.6/1kV-3x16mm2</t>
  </si>
  <si>
    <t>XLPE350HT</t>
  </si>
  <si>
    <t>Cáp C/XLPE/PVC -0.6/1kV-3x50mm2</t>
  </si>
  <si>
    <t>XLPE416HT</t>
  </si>
  <si>
    <t>Cáp C/XLPE/PVC -0.6/1kV-4x16mm2</t>
  </si>
  <si>
    <t>XLPE316+10HT</t>
  </si>
  <si>
    <t>Cáp C/XLPE/PVC -0.6/1kV-3x16+10mm2</t>
  </si>
  <si>
    <t>XLPE350+35HT</t>
  </si>
  <si>
    <t>Cáp C/XLPE/PVC -0.6/1kV-3x50+35mm2</t>
  </si>
  <si>
    <t>XLPE370+50HT</t>
  </si>
  <si>
    <t>Cáp C/XLPE/PVC -0.6/1kV-3x70+50mm2</t>
  </si>
  <si>
    <t>XLPE395+50HT</t>
  </si>
  <si>
    <t>Cáp C/XLPE/PVC -0.6/1kV-3x95+50mm2</t>
  </si>
  <si>
    <t>XLPE3120+70HT</t>
  </si>
  <si>
    <t>Cáp C/XLPE/PVC -0.6/1kV-3x120+70mm2</t>
  </si>
  <si>
    <t>XLPE3150+95HT</t>
  </si>
  <si>
    <t>Cáp C/XLPE/PVC -0.6/1kV-3x150+95mm2</t>
  </si>
  <si>
    <t>XLPE3185+120HT</t>
  </si>
  <si>
    <t>Cáp C/XLPE/PVC -0.6/1kV-3x185+120mm2</t>
  </si>
  <si>
    <t>Cáp C/XLPE/DSTA/PVC -0.6/1kV-3x50+35mm2</t>
  </si>
  <si>
    <t>XLPE325D</t>
  </si>
  <si>
    <t>Cáp 24kV C/XLPE/DSTA/PVC3x25</t>
  </si>
  <si>
    <t>XLPE350D</t>
  </si>
  <si>
    <t>Cáp 24kV C/XLPE/DSTA/PVC3x50</t>
  </si>
  <si>
    <t>XLPE370D</t>
  </si>
  <si>
    <t>Cáp 24kV C/XLPE/DSTA/PVC3x70mm2</t>
  </si>
  <si>
    <t>XLPE395D</t>
  </si>
  <si>
    <t>Cáp 24kV C/XLPE/DSTA/PVC3x95mm2</t>
  </si>
  <si>
    <t>XLPE3120D</t>
  </si>
  <si>
    <t>Cáp 24kV C/XLPE/DSTA/PVC3x120mm2</t>
  </si>
  <si>
    <t>XLPE3150D</t>
  </si>
  <si>
    <t>Cáp 24kV C/XLPE/DSTA/PVC3x150mm2</t>
  </si>
  <si>
    <t>XLPE3185D</t>
  </si>
  <si>
    <t>Cáp 24kV C/XLPE/DSTA/PVC3x185mm2</t>
  </si>
  <si>
    <t>XLPE3240D</t>
  </si>
  <si>
    <t>Cáp 24kV C/XLPE/DSTA/PVC3x240mm2</t>
  </si>
  <si>
    <t>XLPE200HT</t>
  </si>
  <si>
    <t>Cáp 0,6/1KV C/XLPE/PVC 200mm2</t>
  </si>
  <si>
    <t>XLPE240HT</t>
  </si>
  <si>
    <t>Cáp 0,6/1KV C/XLPE/PVC 240mm2</t>
  </si>
  <si>
    <t>XLPE250HT</t>
  </si>
  <si>
    <t>Cáp 0,6/1KV C/XLPE/PVC 250mm2</t>
  </si>
  <si>
    <t>XLPE300HT</t>
  </si>
  <si>
    <t>Cáp 0,6/1KV C/XLPE/PVC 300mm2</t>
  </si>
  <si>
    <t>ACKP35</t>
  </si>
  <si>
    <t>Cáp nhôm lõi thép ACKP-35/6,2</t>
  </si>
  <si>
    <t>ACKP50</t>
  </si>
  <si>
    <t>Cáp nhôm lõi thép ACKP-50/8</t>
  </si>
  <si>
    <t>ACKP70</t>
  </si>
  <si>
    <t>Cáp nhôm lõi thép ACKP-70/11</t>
  </si>
  <si>
    <t>ACKP95</t>
  </si>
  <si>
    <t>Cáp nhôm lõi thép ACKP-95/16</t>
  </si>
  <si>
    <t>ACKP120</t>
  </si>
  <si>
    <t>Cáp nhôm lõi thép ACKP-120/19</t>
  </si>
  <si>
    <t>ACKP150</t>
  </si>
  <si>
    <t>Cáp nhôm lõi thép ACKP-150/24</t>
  </si>
  <si>
    <t>ACKP185</t>
  </si>
  <si>
    <t>Cáp nhôm lõi thép ACKP-185/29</t>
  </si>
  <si>
    <t>ACKP240</t>
  </si>
  <si>
    <t>Cáp nhôm lõi thép ACKP-240/32</t>
  </si>
  <si>
    <t>ACXV150</t>
  </si>
  <si>
    <t>Cáp nhôm lõi thép bọc 24KV AC/XLPE/PVC150 mm2</t>
  </si>
  <si>
    <t>Cáp 24KV AS/XLPE/PVC 50 mm2</t>
  </si>
  <si>
    <t>AC35</t>
  </si>
  <si>
    <t>Cáp nhôm lõi thép AC-35/6,2</t>
  </si>
  <si>
    <t>Cáp nhôm lõi thép AC-50/8</t>
  </si>
  <si>
    <t>Cáp nhôm lõi thép AC-70/11</t>
  </si>
  <si>
    <t>Cáp nhôm lõi thép AC-95/16</t>
  </si>
  <si>
    <t>Cáp nhôm lõi thép AC-120/19</t>
  </si>
  <si>
    <t>Cáp nhôm lõi thép AC-150/24</t>
  </si>
  <si>
    <t>Cáp nhôm lõi thép AC-185/29</t>
  </si>
  <si>
    <t>Cáp nhôm lõi thép AC-240/39</t>
  </si>
  <si>
    <t>av35</t>
  </si>
  <si>
    <t>Cáp nhôm bọc AV35</t>
  </si>
  <si>
    <t>av50</t>
  </si>
  <si>
    <t>Cáp nhôm bọc AV50</t>
  </si>
  <si>
    <t>av70</t>
  </si>
  <si>
    <t>Cáp nhôm bọc AV70</t>
  </si>
  <si>
    <t>av95</t>
  </si>
  <si>
    <t>Cáp nhôm bọc AV95</t>
  </si>
  <si>
    <t>av120</t>
  </si>
  <si>
    <t>Cáp nhôm bọc AV120</t>
  </si>
  <si>
    <t>av150</t>
  </si>
  <si>
    <t>Cáp nhôm bọc AV150</t>
  </si>
  <si>
    <t>av185</t>
  </si>
  <si>
    <t>Cáp nhôm bọc AV185</t>
  </si>
  <si>
    <t>av240</t>
  </si>
  <si>
    <t>Cáp nhôm bọc AV240</t>
  </si>
  <si>
    <t>av300</t>
  </si>
  <si>
    <t>Cáp nhôm bọc AV300</t>
  </si>
  <si>
    <t>Cáp nhôm ABC 3x50mm2</t>
  </si>
  <si>
    <t>Cáp nhôm ABC 3x70mm2</t>
  </si>
  <si>
    <t>Cáp nhôm ABC 4x50mm2</t>
  </si>
  <si>
    <t>ABC4x70</t>
  </si>
  <si>
    <t>Cáp nhôm ABC 4x70mm2</t>
  </si>
  <si>
    <t>Cáp nhôm ABC 3x95mm2</t>
  </si>
  <si>
    <t>Cáp nhôm ABC 4x95mm2</t>
  </si>
  <si>
    <t>ABC4x120</t>
  </si>
  <si>
    <t>Cáp nhôm ABC 4x120mm2</t>
  </si>
  <si>
    <t>Cáp nhôm ABC 4x150mm2</t>
  </si>
  <si>
    <t>03.1401</t>
  </si>
  <si>
    <t xml:space="preserve">Cáp CVV 2x2,5mm2  </t>
  </si>
  <si>
    <t>CVV316</t>
  </si>
  <si>
    <t>Cáp CVV 3x16mm2</t>
  </si>
  <si>
    <t xml:space="preserve">Cáp CVV 4x2,5mm2  </t>
  </si>
  <si>
    <t>Dây đồng trần mềm dẹt</t>
  </si>
  <si>
    <t>CVV4X4</t>
  </si>
  <si>
    <t xml:space="preserve">Cáp CVV 4x4mm2  </t>
  </si>
  <si>
    <t>04.4201</t>
  </si>
  <si>
    <t>Cáp đồng mềm CV2,5</t>
  </si>
  <si>
    <t>cv11</t>
  </si>
  <si>
    <t>Cáp đồng bọc CV11</t>
  </si>
  <si>
    <t>cv16</t>
  </si>
  <si>
    <t>Cáp đồng bọc CV16</t>
  </si>
  <si>
    <t>Cáp đồng bọc CV25</t>
  </si>
  <si>
    <t>cv35</t>
  </si>
  <si>
    <t>Cáp đồng bọc CV35</t>
  </si>
  <si>
    <t>cv50</t>
  </si>
  <si>
    <t>Cáp đồng bọc CV50</t>
  </si>
  <si>
    <t>cv70</t>
  </si>
  <si>
    <t>Cáp đồng bọc CV70</t>
  </si>
  <si>
    <t>Cáp đồng bọc CV95</t>
  </si>
  <si>
    <t>cv120</t>
  </si>
  <si>
    <t>Cáp đồng bọc CV120</t>
  </si>
  <si>
    <t>cv150</t>
  </si>
  <si>
    <t>Cáp đồng bọc CV150</t>
  </si>
  <si>
    <t>cv185</t>
  </si>
  <si>
    <t>Cáp đồng bọc CV185</t>
  </si>
  <si>
    <t>cv200</t>
  </si>
  <si>
    <t>Cáp đồng bọc CV200</t>
  </si>
  <si>
    <t>cv240</t>
  </si>
  <si>
    <t>Cáp đồng bọc CV240</t>
  </si>
  <si>
    <t>cv250</t>
  </si>
  <si>
    <t>Cáp đồng bọc CV250</t>
  </si>
  <si>
    <t>cv300</t>
  </si>
  <si>
    <t>Cáp đồng bọc CV300</t>
  </si>
  <si>
    <t>cv400</t>
  </si>
  <si>
    <t>Cáp đồng bọc CV400</t>
  </si>
  <si>
    <t>acv35</t>
  </si>
  <si>
    <t>Cáp nhôm lõi thép ACV35</t>
  </si>
  <si>
    <t>acv50</t>
  </si>
  <si>
    <t>Cáp nhôm lõi thép ACV50</t>
  </si>
  <si>
    <t>acv70</t>
  </si>
  <si>
    <t>Cáp nhôm lõi thép ACV70</t>
  </si>
  <si>
    <t>acv95</t>
  </si>
  <si>
    <t>Cáp nhôm lõi thép ACV95</t>
  </si>
  <si>
    <t>acv120</t>
  </si>
  <si>
    <t>Cáp nhôm lõi thép ACV120</t>
  </si>
  <si>
    <t>acv150</t>
  </si>
  <si>
    <t>Cáp nhôm lõi thép ACV150</t>
  </si>
  <si>
    <t>acv185</t>
  </si>
  <si>
    <t>Cáp nhôm lõi thép ACV185</t>
  </si>
  <si>
    <t>acv240</t>
  </si>
  <si>
    <t>Cáp nhôm lõi thép ACV240</t>
  </si>
  <si>
    <t>A35</t>
  </si>
  <si>
    <t>Cáp nhôm A-35</t>
  </si>
  <si>
    <t>A50</t>
  </si>
  <si>
    <t>Cáp nhôm A-50</t>
  </si>
  <si>
    <t>A70</t>
  </si>
  <si>
    <t>Cáp nhôm A-70</t>
  </si>
  <si>
    <t>A95</t>
  </si>
  <si>
    <t>Cáp nhôm A-95</t>
  </si>
  <si>
    <t>A120</t>
  </si>
  <si>
    <t>Cáp nhôm A-120</t>
  </si>
  <si>
    <t>A150</t>
  </si>
  <si>
    <t>Cáp nhôm A-150</t>
  </si>
  <si>
    <t>A185</t>
  </si>
  <si>
    <t>Cáp nhôm A-185</t>
  </si>
  <si>
    <t>A240</t>
  </si>
  <si>
    <t>Cáp nhôm A-240</t>
  </si>
  <si>
    <t>Cáp thép 3/8"</t>
  </si>
  <si>
    <t>Cáp thép 5/8"</t>
  </si>
  <si>
    <t>Chân sứ đỉnh thẳng dài 870mm</t>
  </si>
  <si>
    <t>Chân sứ đỉnh đỡ góc dài 870mm</t>
  </si>
  <si>
    <t>Chân sứ đứng D20</t>
  </si>
  <si>
    <t xml:space="preserve">Dây nhôm buộc </t>
  </si>
  <si>
    <t>Cáp nhôm A-70: buộc cổ sứ</t>
  </si>
  <si>
    <t>05.6100</t>
  </si>
  <si>
    <t>Giá chữ "T" lắp FCO, LA (V63x63x6)</t>
  </si>
  <si>
    <t>Giá U 80x600 lắp FCO</t>
  </si>
  <si>
    <t>05.6001</t>
  </si>
  <si>
    <t>Giá chữ "T" lắp FCO, LA (V50x50x5)</t>
  </si>
  <si>
    <t>Kg</t>
  </si>
  <si>
    <t>Gianoi1600</t>
  </si>
  <si>
    <t>Giá nới + Thanh cái tủ CB</t>
  </si>
  <si>
    <t>Gianoi2500</t>
  </si>
  <si>
    <t>GianoiCB</t>
  </si>
  <si>
    <t>GCST</t>
  </si>
  <si>
    <t>Gia công sắt thép</t>
  </si>
  <si>
    <t>Vật liệu dựng trụ</t>
  </si>
  <si>
    <t>Kẹp cáp 3 boulon</t>
  </si>
  <si>
    <t>CTD</t>
  </si>
  <si>
    <t>Cọc tiếp đất Ø16 - 2,4m</t>
  </si>
  <si>
    <t>cọc</t>
  </si>
  <si>
    <t>Cọc tiếp đất Ø 16- 2,4m + kẹp cọc</t>
  </si>
  <si>
    <t>K-Cu</t>
  </si>
  <si>
    <t>Kẹp cọc tiếp đất Cu</t>
  </si>
  <si>
    <t>K-Fe</t>
  </si>
  <si>
    <t>Kẹp cọc tiếp đất Fe</t>
  </si>
  <si>
    <t>K35</t>
  </si>
  <si>
    <t>Kẹp 2 rãnh (APC) cỡ dây 35mm2</t>
  </si>
  <si>
    <t>Kẹp 2 rãnh (APC) cỡ dây 50mm2</t>
  </si>
  <si>
    <t>K70</t>
  </si>
  <si>
    <t>Kẹp 2 rãnh (APC) cỡ dây 70mm2</t>
  </si>
  <si>
    <t>K95</t>
  </si>
  <si>
    <t>Kẹp 2 rãnh (APC) cỡ dây 95mm2</t>
  </si>
  <si>
    <t>K120</t>
  </si>
  <si>
    <t>Kẹp 2 rãnh (APC) cỡ dây 120mm2</t>
  </si>
  <si>
    <t>K150</t>
  </si>
  <si>
    <t>Kẹp 2 rãnh (APC) cỡ dây 150mm2</t>
  </si>
  <si>
    <t>K185</t>
  </si>
  <si>
    <t>Kẹp 2 rãnh (APC) cỡ dây 185mm2</t>
  </si>
  <si>
    <t>K240</t>
  </si>
  <si>
    <t>Kẹp 2 rãnh (APC) cỡ dây 240 mm2</t>
  </si>
  <si>
    <t>KTREO211</t>
  </si>
  <si>
    <t>Kẹp treo cáp ABC2x11mm2</t>
  </si>
  <si>
    <t>KTREO11</t>
  </si>
  <si>
    <t>Kẹp treo cáp ABC4x11mm2</t>
  </si>
  <si>
    <t>KTREO22</t>
  </si>
  <si>
    <t>Kẹp treo cáp ABC4x22mm2</t>
  </si>
  <si>
    <t>Kẹp treo cáp ABC4x35mm2</t>
  </si>
  <si>
    <t>Kẹp treo cáp ABC4x50mm2</t>
  </si>
  <si>
    <t>06.1201</t>
  </si>
  <si>
    <t>Kẹp treo cáp ABC4x70mm2</t>
  </si>
  <si>
    <t>Kẹp treo cáp ABC3x95mm2</t>
  </si>
  <si>
    <t>Kẹp treo cáp ABC4x120mm2</t>
  </si>
  <si>
    <t>KTREO150</t>
  </si>
  <si>
    <t>Kẹp treo cáp ABC4x150mm2</t>
  </si>
  <si>
    <t>Móc treo chữ A</t>
  </si>
  <si>
    <t>MOCDUNG</t>
  </si>
  <si>
    <t xml:space="preserve">Móc dừng </t>
  </si>
  <si>
    <t xml:space="preserve">Móc đơn treo cáp </t>
  </si>
  <si>
    <t>Kháng bắt sứ kép polymer</t>
  </si>
  <si>
    <t>KNGUNG211</t>
  </si>
  <si>
    <t>Kẹp ngừng cáp ABC2x11mm2</t>
  </si>
  <si>
    <t>KNGUNG11</t>
  </si>
  <si>
    <t>Kẹp ngừng cáp ABC4x11mm2</t>
  </si>
  <si>
    <t>KNGUNG22</t>
  </si>
  <si>
    <t>Kẹp ngừng cáp ABC4x22mm2</t>
  </si>
  <si>
    <t>Kẹp ngừng cáp ABC4x35mm2</t>
  </si>
  <si>
    <t>Kẹp ngừng cáp ABC4x50mm2</t>
  </si>
  <si>
    <t>Kẹp ngừng cáp ABC4x70mm2</t>
  </si>
  <si>
    <t>Kẹp ngừng cáp ABC3x95mm2</t>
  </si>
  <si>
    <t>KNGUNG120</t>
  </si>
  <si>
    <t>Kẹp ngừng cáp ABC4x120mm2</t>
  </si>
  <si>
    <t>Kẹp ngừng cáp ABC4x150mm2</t>
  </si>
  <si>
    <t>Hopcap240</t>
  </si>
  <si>
    <t>Hộp nối cáp ngầm 24kV 3x240mm2</t>
  </si>
  <si>
    <t>Hopcap185</t>
  </si>
  <si>
    <t>Hộp nối cáp ngầm 24kV 3x185mm2</t>
  </si>
  <si>
    <t>Hopcap150</t>
  </si>
  <si>
    <t>Hộp nối cáp ngầm 24kV 3x150mm2</t>
  </si>
  <si>
    <t>Hopcap120</t>
  </si>
  <si>
    <t>Hộp nối cáp ngầm 24kV 3x120mm2</t>
  </si>
  <si>
    <t>Hopcap95</t>
  </si>
  <si>
    <t>Hộp nối cáp ngầm 24kV 3x95mm2</t>
  </si>
  <si>
    <t>Hopcap70</t>
  </si>
  <si>
    <t>Hộp nối cáp ngầm 24kV 3x70mm2</t>
  </si>
  <si>
    <t>Hopcap50</t>
  </si>
  <si>
    <t>Hộp nối cáp ngầm 24kV 3x50mm2</t>
  </si>
  <si>
    <t>HOP9C</t>
  </si>
  <si>
    <t>Hộp phân phối 9CB-32A</t>
  </si>
  <si>
    <t>Hộp phân phối (hộp rỗng)</t>
  </si>
  <si>
    <t>BTNN</t>
  </si>
  <si>
    <t>Bêtông nhựa nóng hạt thô</t>
  </si>
  <si>
    <t>m3</t>
  </si>
  <si>
    <t>BTNN min</t>
  </si>
  <si>
    <t>Bêtông nhựa nóng hạt mịn</t>
  </si>
  <si>
    <t>BTNN-TL</t>
  </si>
  <si>
    <t>ED.2005</t>
  </si>
  <si>
    <t>Tái lập bêtông nhựa nóng hạt thô 7mm</t>
  </si>
  <si>
    <t>m2</t>
  </si>
  <si>
    <t>BTNN-TL min</t>
  </si>
  <si>
    <t>ED.3001</t>
  </si>
  <si>
    <t>Tái lập bêtông nhựa nóng hạt mịn 3mm</t>
  </si>
  <si>
    <t>04.9001</t>
  </si>
  <si>
    <t>Bitum</t>
  </si>
  <si>
    <t>Nắp bịt đầu cáp ABC150mm2</t>
  </si>
  <si>
    <t>BIT120</t>
  </si>
  <si>
    <t>Nắp bịt đầu cáp ABC120mm2</t>
  </si>
  <si>
    <t>Nắp bịt đầu cáp ABC95mm2</t>
  </si>
  <si>
    <t>Nắp bịt đầu cáp ABC70mm2</t>
  </si>
  <si>
    <t>Nắp bịt đầu cáp ABC50mm2</t>
  </si>
  <si>
    <t>Nắp bịt đầu cáp 35mm2</t>
  </si>
  <si>
    <t>Kẹp ép WR 399</t>
  </si>
  <si>
    <t>Kẹp ép cỡ dây 25mm2</t>
  </si>
  <si>
    <t>KE35</t>
  </si>
  <si>
    <t>Kẹp ép WR cỡ dây 35mm2</t>
  </si>
  <si>
    <t>Kẹp ép WR cỡ dây 50mm2</t>
  </si>
  <si>
    <t>KE70</t>
  </si>
  <si>
    <t>Kẹp ép WR cỡ dây 70mm2</t>
  </si>
  <si>
    <t>KE95</t>
  </si>
  <si>
    <t>Kẹp ép WR cỡ dây 95mm2</t>
  </si>
  <si>
    <t>Kẹp ép WR cỡ dây 120mm2</t>
  </si>
  <si>
    <t>KE150</t>
  </si>
  <si>
    <t>Kẹp ép WR cỡ dây 150mm2</t>
  </si>
  <si>
    <t>KE185</t>
  </si>
  <si>
    <t>Kẹp ép WR cỡ dây 185mm2</t>
  </si>
  <si>
    <t>KE240</t>
  </si>
  <si>
    <t>Kẹp ép WR cỡ dây 240mm2</t>
  </si>
  <si>
    <t>Kẹp nối đồng-nhôm</t>
  </si>
  <si>
    <t>KCUAL60</t>
  </si>
  <si>
    <t>Kẹp nối đồng-nhôm 60mm2</t>
  </si>
  <si>
    <t>04.3007</t>
  </si>
  <si>
    <t>Kẹp quai 2/0</t>
  </si>
  <si>
    <t>Kẹp quai 2/0 + chụp cách điện</t>
  </si>
  <si>
    <t>Kẹp quai 4/0</t>
  </si>
  <si>
    <t xml:space="preserve">KQ4/0 </t>
  </si>
  <si>
    <t>Kẹp quai 4/0 + chụp cách điện</t>
  </si>
  <si>
    <t>Kẹp hotline 2/0</t>
  </si>
  <si>
    <t>Kẹp hotline 4/0</t>
  </si>
  <si>
    <t>KH350M</t>
  </si>
  <si>
    <t>Kẹp hotline 350MCM</t>
  </si>
  <si>
    <t>KEU35</t>
  </si>
  <si>
    <t>Kẹp U bolt dây 35mm2</t>
  </si>
  <si>
    <t>KEU50</t>
  </si>
  <si>
    <t>Kẹp U bolt dây 50mm2</t>
  </si>
  <si>
    <t>KEU70</t>
  </si>
  <si>
    <t>Kẹp U bolt dây 70mm2</t>
  </si>
  <si>
    <t>KEU95</t>
  </si>
  <si>
    <t>Kẹp U bolt dây 95mm2</t>
  </si>
  <si>
    <t>Kd50</t>
  </si>
  <si>
    <t>Khóa đỡ dây cỡ dây 50</t>
  </si>
  <si>
    <t>Kd70</t>
  </si>
  <si>
    <t>Khóa đỡ dây cỡ dây 70</t>
  </si>
  <si>
    <t>Kd95</t>
  </si>
  <si>
    <t>Khóa đỡ dây cỡ dây 95</t>
  </si>
  <si>
    <t>Kd120</t>
  </si>
  <si>
    <t>Khóa đỡ dây cỡ dây 120</t>
  </si>
  <si>
    <t>Kd150</t>
  </si>
  <si>
    <t>Khóa đỡ dây cỡ dây 150</t>
  </si>
  <si>
    <t>Kd185</t>
  </si>
  <si>
    <t>Khóa đỡ dây cỡ dây 185</t>
  </si>
  <si>
    <t>Kd240</t>
  </si>
  <si>
    <t>Khóa đỡ dây cỡ dây 240</t>
  </si>
  <si>
    <t>KD357</t>
  </si>
  <si>
    <t>Khóa đỡ Đ357</t>
  </si>
  <si>
    <t>KD912</t>
  </si>
  <si>
    <t>Khóa đỡ Đ912</t>
  </si>
  <si>
    <t>KD158</t>
  </si>
  <si>
    <t>Khóa đỡ Đ158</t>
  </si>
  <si>
    <t>KN35</t>
  </si>
  <si>
    <t>Khóa néo dây cỡ dây 35</t>
  </si>
  <si>
    <t>Khóa néo dây cỡ dây 50</t>
  </si>
  <si>
    <t>Khóa néo dây cỡ dây 70</t>
  </si>
  <si>
    <t>Khóa néo dây cỡ dây 95</t>
  </si>
  <si>
    <t>Khóa néo dây cỡ dây 120</t>
  </si>
  <si>
    <t>Khóa néo dây cỡ dây 150</t>
  </si>
  <si>
    <t>Khóa néo dây cỡ dây 185</t>
  </si>
  <si>
    <t>Khóa néo dây cỡ dây 240</t>
  </si>
  <si>
    <t>KN158</t>
  </si>
  <si>
    <t>Khóa néo N158</t>
  </si>
  <si>
    <t>KN912</t>
  </si>
  <si>
    <t>Khóa néo N912</t>
  </si>
  <si>
    <t>KN357</t>
  </si>
  <si>
    <t>Khóa néo N357</t>
  </si>
  <si>
    <t>Giáp níu dừng dây bọc 185</t>
  </si>
  <si>
    <t>Máng che dây chằng dày 1,6mm</t>
  </si>
  <si>
    <t>Mắt nối đơn</t>
  </si>
  <si>
    <t>MNTG</t>
  </si>
  <si>
    <t xml:space="preserve">Mắt nối t/ gian </t>
  </si>
  <si>
    <t xml:space="preserve">Móc treo chữ U </t>
  </si>
  <si>
    <t>MT61A</t>
  </si>
  <si>
    <t>Móc treo CK61A</t>
  </si>
  <si>
    <t>Vòng treo đầu tròn</t>
  </si>
  <si>
    <t>ON240A</t>
  </si>
  <si>
    <t>Ống nối dây A-240</t>
  </si>
  <si>
    <t>ON185A</t>
  </si>
  <si>
    <t>Ống nối dây A-185</t>
  </si>
  <si>
    <t>ON120A</t>
  </si>
  <si>
    <t>Ống nối dây A-120</t>
  </si>
  <si>
    <t>ON95A</t>
  </si>
  <si>
    <t>Ống nối dây A-95</t>
  </si>
  <si>
    <t>ON70A</t>
  </si>
  <si>
    <t>Ống nối dây A-70</t>
  </si>
  <si>
    <t>ON50A</t>
  </si>
  <si>
    <t>Ống nối dây A-50</t>
  </si>
  <si>
    <t>ON35A</t>
  </si>
  <si>
    <t>Ống nối dây A-35</t>
  </si>
  <si>
    <t>ON35</t>
  </si>
  <si>
    <t>Ống nối dây cỡ 35mm2</t>
  </si>
  <si>
    <t>Ống nối dây cỡ 50mm2</t>
  </si>
  <si>
    <t>Ống nối dây cỡ 70mm2</t>
  </si>
  <si>
    <t>Ống nối dây cỡ 95mm2</t>
  </si>
  <si>
    <t>Ống nối dây cỡ 120mm2</t>
  </si>
  <si>
    <t>Ống nối dây cỡ 150mm2</t>
  </si>
  <si>
    <t>Ống nối dây cỡ 185mm2</t>
  </si>
  <si>
    <t>Ống nối dây cỡ 240mm2</t>
  </si>
  <si>
    <t>ON50B</t>
  </si>
  <si>
    <t>Ống nối dây chịu sức căng cỡ 50mm2</t>
  </si>
  <si>
    <t>PU</t>
  </si>
  <si>
    <t>Puli</t>
  </si>
  <si>
    <t>Uclevis</t>
  </si>
  <si>
    <t>Rack 2 sứ + sứ ống chỉ</t>
  </si>
  <si>
    <t>Rack 3 sứ + sứ ống chỉ</t>
  </si>
  <si>
    <t>Rack 4</t>
  </si>
  <si>
    <t>R4S</t>
  </si>
  <si>
    <t>Rack 4 sứ + sứ ống chỉ</t>
  </si>
  <si>
    <t xml:space="preserve">Sứ đứng 24KV </t>
  </si>
  <si>
    <t>SD35</t>
  </si>
  <si>
    <t>Sứ đứng 35KV + ty</t>
  </si>
  <si>
    <t>SDI35</t>
  </si>
  <si>
    <t>Sứ đứng 35KV + ty sứ đỉnh</t>
  </si>
  <si>
    <t>SDCM</t>
  </si>
  <si>
    <t>Sứ đứng 24KV chống nhiễm mặn</t>
  </si>
  <si>
    <t>SOC</t>
  </si>
  <si>
    <t xml:space="preserve">Sứ ống chỉ </t>
  </si>
  <si>
    <t>Sứ treo loại 70kN</t>
  </si>
  <si>
    <t>bát</t>
  </si>
  <si>
    <t>ST120</t>
  </si>
  <si>
    <t>Sứ treo loại 120kN</t>
  </si>
  <si>
    <t>STply</t>
  </si>
  <si>
    <t>Sứ treo polymer</t>
  </si>
  <si>
    <t>Stply-HT</t>
  </si>
  <si>
    <t>Sứ polymer cách điện hạ thế thanh cái tủ</t>
  </si>
  <si>
    <t>S40</t>
  </si>
  <si>
    <t>Sắt dẹt 40 x 4</t>
  </si>
  <si>
    <t>Sắt dẹt 50 x 5</t>
  </si>
  <si>
    <t>Sắt dẹt 60 x 6</t>
  </si>
  <si>
    <t>S70</t>
  </si>
  <si>
    <t>Sắt dẹt 70 x 7</t>
  </si>
  <si>
    <t>S806</t>
  </si>
  <si>
    <t>Sắt dẹt 80 x 6</t>
  </si>
  <si>
    <t>S80</t>
  </si>
  <si>
    <t>Sắt dẹt 80 x 8</t>
  </si>
  <si>
    <t>S1008</t>
  </si>
  <si>
    <t>Sắt dẹt 100 x 8</t>
  </si>
  <si>
    <t>SL32</t>
  </si>
  <si>
    <t>Sắt góc L32 x 32 x 3</t>
  </si>
  <si>
    <t>SL40</t>
  </si>
  <si>
    <t>Sắt góc L40 x40 x4</t>
  </si>
  <si>
    <t>Sắt góc L45 x45 x 4</t>
  </si>
  <si>
    <t>Sắt góc L50 x50 x5</t>
  </si>
  <si>
    <t>SL70</t>
  </si>
  <si>
    <t>Sắt góc L70 x70 x7</t>
  </si>
  <si>
    <t>Sắt   Ø6</t>
  </si>
  <si>
    <t>Sắt   Ø8</t>
  </si>
  <si>
    <t>Sắt   Ø10</t>
  </si>
  <si>
    <t>Sắt   Ø12</t>
  </si>
  <si>
    <t>SO16</t>
  </si>
  <si>
    <t>Sắt   Ø16</t>
  </si>
  <si>
    <t>SO24</t>
  </si>
  <si>
    <t>Sắt   Ø24</t>
  </si>
  <si>
    <t>EKE300</t>
  </si>
  <si>
    <t>Ê KE 5x300x300\Zn</t>
  </si>
  <si>
    <t>Thép tấm 6mm</t>
  </si>
  <si>
    <t>thept5</t>
  </si>
  <si>
    <t>Thép tấm 5mm</t>
  </si>
  <si>
    <t>thept4</t>
  </si>
  <si>
    <t>Thép tấm 4mm</t>
  </si>
  <si>
    <t>thept2</t>
  </si>
  <si>
    <t>Thép tấm 2mm</t>
  </si>
  <si>
    <t>Bộ chống chằng hẹp Ø60/50x1500+2BL12x40+BL16x250/80</t>
  </si>
  <si>
    <t>Bộ chống chằng hẹp Ø60/50x1200+2BL12x40+BL16x200/50</t>
  </si>
  <si>
    <t>Ty neo Ø16x1800</t>
  </si>
  <si>
    <t>TN1624</t>
  </si>
  <si>
    <t>Ty neo Ø16x2400</t>
  </si>
  <si>
    <t>TN1824</t>
  </si>
  <si>
    <t>Ty neo Ø18x2400</t>
  </si>
  <si>
    <t>Ty neo Ø22x2400</t>
  </si>
  <si>
    <t>Ty neo Ø22x3000</t>
  </si>
  <si>
    <t>Ty neo Ø22x3700</t>
  </si>
  <si>
    <t>Neo xòe 8 hướng (dày 3,2mm)</t>
  </si>
  <si>
    <t>CD142</t>
  </si>
  <si>
    <t>06.3231</t>
  </si>
  <si>
    <t>Cổ dê CD.X-142</t>
  </si>
  <si>
    <t>CD142a</t>
  </si>
  <si>
    <t>Cổ dê CD.X-142A</t>
  </si>
  <si>
    <t>CD146</t>
  </si>
  <si>
    <t>Cổ dê CD.X-146</t>
  </si>
  <si>
    <t>CD146a</t>
  </si>
  <si>
    <t>Cổ dê CD.X-146A</t>
  </si>
  <si>
    <t>CD682</t>
  </si>
  <si>
    <t>Cổ dê 6,82kg</t>
  </si>
  <si>
    <t>LCD</t>
  </si>
  <si>
    <t>06.2110</t>
  </si>
  <si>
    <t>Lắp cổ dề</t>
  </si>
  <si>
    <t>CD21</t>
  </si>
  <si>
    <t>Cổ dê kẹp ống PVC  21</t>
  </si>
  <si>
    <t>CD21S10</t>
  </si>
  <si>
    <t>Cổ dê kẹp sắt Ø 10</t>
  </si>
  <si>
    <t>Cổ dê kẹp ống PVC Ø 60</t>
  </si>
  <si>
    <t>CD90</t>
  </si>
  <si>
    <t>Cổ dê kẹp ống PVC Ø 90</t>
  </si>
  <si>
    <t>Cổ dê kẹp ống PVC Ø 114</t>
  </si>
  <si>
    <t>CD140</t>
  </si>
  <si>
    <t>Cổ dê kẹp ống PVC Ø 140</t>
  </si>
  <si>
    <t>CD140TK</t>
  </si>
  <si>
    <t>Cổ dê kẹp ống sắt Ø 140</t>
  </si>
  <si>
    <t>CD195</t>
  </si>
  <si>
    <t>Cổ dê Ø 195 nẹp trụ</t>
  </si>
  <si>
    <t>CD207</t>
  </si>
  <si>
    <t>Cổ dê Ø 207 nẹp trụ</t>
  </si>
  <si>
    <t>CD220</t>
  </si>
  <si>
    <t>Cổ dê Ø 220 nẹp trụ</t>
  </si>
  <si>
    <t>CD240</t>
  </si>
  <si>
    <t>Cổ dê  Ø 240-Fe 8x100</t>
  </si>
  <si>
    <t>CD250</t>
  </si>
  <si>
    <t>Cổ dê Ø 250-Fe 8x100</t>
  </si>
  <si>
    <t>CD320</t>
  </si>
  <si>
    <t>Cổ dê CDĐKĐT( bắt thùng điện kế)</t>
  </si>
  <si>
    <t>Cdtrudoi</t>
  </si>
  <si>
    <t>Cổ dê trụ đôi bắt sứ treo</t>
  </si>
  <si>
    <t>CdtrudoiHT</t>
  </si>
  <si>
    <t xml:space="preserve">Cổ dê trụ đôi 8,4m bắt móc dừng </t>
  </si>
  <si>
    <t>Cdedaucap</t>
  </si>
  <si>
    <t xml:space="preserve">Cổ dê giữ dầu cáp+Bulon </t>
  </si>
  <si>
    <t>Cdtrudoi140</t>
  </si>
  <si>
    <t xml:space="preserve">Cổ dê giữ ống D140 vào trụ đôi + Bulon </t>
  </si>
  <si>
    <t>Cdtru140</t>
  </si>
  <si>
    <t xml:space="preserve">Cổ dê giữ ống D140 vào trụ + Bulon </t>
  </si>
  <si>
    <t>Cdeoptru</t>
  </si>
  <si>
    <t xml:space="preserve">Cổ dê giữ ống PVC D168+Bulon </t>
  </si>
  <si>
    <t>Cổ dê bắt xà + bulon</t>
  </si>
  <si>
    <t>CD30x3</t>
  </si>
  <si>
    <t>Côllier 30x3 (290-320)</t>
  </si>
  <si>
    <t>Côllier 25x2</t>
  </si>
  <si>
    <t>CD21T</t>
  </si>
  <si>
    <t>Cổ dê giữ ống PVC Ø 21 vào tường + Bulon + long đền + tắc kê sắt</t>
  </si>
  <si>
    <t>Cd42T</t>
  </si>
  <si>
    <t>Cổ dê giữ ống PVC D42</t>
  </si>
  <si>
    <t>Cd114T</t>
  </si>
  <si>
    <t>Cổ dê giữ 2 ống PVC D114 vào tường+Boulon+long đền+tắc ke sắt</t>
  </si>
  <si>
    <t>Cd140T</t>
  </si>
  <si>
    <t>Cổ dê giữ ống STK D140 vào tường+Boulon+long đền+tắc ke sắt</t>
  </si>
  <si>
    <t>CD5x50</t>
  </si>
  <si>
    <t>Cổ dê bắt tủ</t>
  </si>
  <si>
    <t xml:space="preserve">Cổ dê chống lắc 8x80x800 </t>
  </si>
  <si>
    <t>Xà composite 110x800x5 dài 2,4m</t>
  </si>
  <si>
    <t>COM110x800x5-2,6</t>
  </si>
  <si>
    <t>Xà composite 110x800x5 dài 2,6m</t>
  </si>
  <si>
    <t>COM08</t>
  </si>
  <si>
    <t>COM08-720</t>
  </si>
  <si>
    <t>Đà composite 0,8m + Thanh chống đà 720</t>
  </si>
  <si>
    <t>COM08X720</t>
  </si>
  <si>
    <t>Thanh chống đà 720</t>
  </si>
  <si>
    <t>COM110x800x5</t>
  </si>
  <si>
    <t>Xà composite 110x800x5</t>
  </si>
  <si>
    <t>m</t>
  </si>
  <si>
    <t>COM40X10X920</t>
  </si>
  <si>
    <t>Chống composite 40x10x920</t>
  </si>
  <si>
    <t>Trụ BTLT 7,5m F200 dự ứng lực</t>
  </si>
  <si>
    <t>Trụ BTLT 8,4m F200 dự ứng lực</t>
  </si>
  <si>
    <t>Trụ BTLT 8,4m F200 dự ứng lực có dây tiếp địa</t>
  </si>
  <si>
    <t>T85</t>
  </si>
  <si>
    <t>Trụ BTLT 8,5m F200 dự ứng lực</t>
  </si>
  <si>
    <t>T10</t>
  </si>
  <si>
    <t>Trụ BTLT 10,5m F480 dự ứng lực</t>
  </si>
  <si>
    <t>Trụ BTLT 10,5m F350 dự ứng lực</t>
  </si>
  <si>
    <t>Trụ BTLT 12m F350 dự ứng lực</t>
  </si>
  <si>
    <t>Trụ BTLT 12m F350 dự ứng lực (tiếp địa có sẵn)</t>
  </si>
  <si>
    <t>Trụ BTLT 14m F650 dự ứng lực</t>
  </si>
  <si>
    <t>Trụ BTLT 20m F1000 dự ứng lực</t>
  </si>
  <si>
    <t>SON</t>
  </si>
  <si>
    <t>Sơn màu</t>
  </si>
  <si>
    <t>SONCR</t>
  </si>
  <si>
    <t>Sơn chống rỉ</t>
  </si>
  <si>
    <t>Nước đổ bê tông</t>
  </si>
  <si>
    <t>Gỗ ván khuôn</t>
  </si>
  <si>
    <t>DINH</t>
  </si>
  <si>
    <t>Đinh các loại</t>
  </si>
  <si>
    <t>Đá 1x2</t>
  </si>
  <si>
    <t>D0x4</t>
  </si>
  <si>
    <t>Đá 0x4</t>
  </si>
  <si>
    <t>D2x4</t>
  </si>
  <si>
    <t>Đá 2x4</t>
  </si>
  <si>
    <t>Đá 4x6</t>
  </si>
  <si>
    <t>Cát vàng</t>
  </si>
  <si>
    <t>gachong</t>
  </si>
  <si>
    <t>Gạch ống</t>
  </si>
  <si>
    <t>viên</t>
  </si>
  <si>
    <t>gachtau</t>
  </si>
  <si>
    <t>Gạch tàu</t>
  </si>
  <si>
    <t>gachthe</t>
  </si>
  <si>
    <t>Gạch thẻ</t>
  </si>
  <si>
    <t xml:space="preserve">Ximăng </t>
  </si>
  <si>
    <t>Que hàn điện</t>
  </si>
  <si>
    <t>Cọ sơn</t>
  </si>
  <si>
    <t>Nilong</t>
  </si>
  <si>
    <t>Tấm nilông màu cảnh báo</t>
  </si>
  <si>
    <t>NLON</t>
  </si>
  <si>
    <t>Nylon làm dấu khổ 0.6m</t>
  </si>
  <si>
    <t>thepb</t>
  </si>
  <si>
    <t>Dây thép buộc A70</t>
  </si>
  <si>
    <t>daucap50</t>
  </si>
  <si>
    <t>Đầu cáp ngầm 24KV 3x50mm2 outdoor</t>
  </si>
  <si>
    <t>daucap70</t>
  </si>
  <si>
    <t>Đầu cáp ngầm 24KV 3x70mm2 outdoor</t>
  </si>
  <si>
    <t>daucap95</t>
  </si>
  <si>
    <t>Đầu cáp ngầm 24KV 3x95mm2 outdoor</t>
  </si>
  <si>
    <t>daucap120</t>
  </si>
  <si>
    <t>Đầu cáp ngầm 24KV 3x120mm2 outdoor</t>
  </si>
  <si>
    <t>daucap150</t>
  </si>
  <si>
    <t>Đầu cáp ngầm 24kV 3x150mm2 outdoor</t>
  </si>
  <si>
    <t>daucap185</t>
  </si>
  <si>
    <t>Đầu cáp ngầm 24kV 3x185mm2 outdoor</t>
  </si>
  <si>
    <t>daucap240</t>
  </si>
  <si>
    <t>Đầu cáp ngầm 24kV 3x240mm2 outdoor</t>
  </si>
  <si>
    <t>daucap50in</t>
  </si>
  <si>
    <t>Đầu cáp ngầm 24KV 3x50mm2 indoor</t>
  </si>
  <si>
    <t>daucap70in</t>
  </si>
  <si>
    <t>Đầu cáp ngầm 24KV 3x70mm2 indoor</t>
  </si>
  <si>
    <t>daucap95in</t>
  </si>
  <si>
    <t>Đầu cáp ngầm 24KV 3x95mm2 indoor</t>
  </si>
  <si>
    <t>daucap120in</t>
  </si>
  <si>
    <t>Đầu cáp ngầm 24KV 3x120mm2 indoor</t>
  </si>
  <si>
    <t>daucap150in</t>
  </si>
  <si>
    <t>Đầu cáp ngầm 24kV 3x150mm2 indoor</t>
  </si>
  <si>
    <t>daucap185in</t>
  </si>
  <si>
    <t>Đầu cáp ngầm 24kV 3x185mm2 indoor</t>
  </si>
  <si>
    <t>daucap240in</t>
  </si>
  <si>
    <t>Đầu cáp ngầm 24kV 3x240mm2 indoor</t>
  </si>
  <si>
    <t>DCAPHT3185</t>
  </si>
  <si>
    <t>Đầu cáp ngầm hạ thế 3x185+120mm2</t>
  </si>
  <si>
    <t>DCAPHT3120</t>
  </si>
  <si>
    <t>Đầu cáp ngầm hạ thế 3x120+70mm2</t>
  </si>
  <si>
    <t>DCAPHT395</t>
  </si>
  <si>
    <t>Đầu cáp ngầm hạ thế 3x95+50mm2</t>
  </si>
  <si>
    <t>DCAPHT370</t>
  </si>
  <si>
    <t>Đầu cáp ngầm hạ thế 3x70+50mm2</t>
  </si>
  <si>
    <t>DCAPHT350+35</t>
  </si>
  <si>
    <t>Đầu cáp ngầm hạ thế 3x50+35mm2</t>
  </si>
  <si>
    <t>Đầu cáp ngầm hạ thế 3x50</t>
  </si>
  <si>
    <t>stk42</t>
  </si>
  <si>
    <t>ÔÁng sắt tráng kẽm D42</t>
  </si>
  <si>
    <t>stk60</t>
  </si>
  <si>
    <t>ÔÁng sắt tráng kẽm D60</t>
  </si>
  <si>
    <t>stk90</t>
  </si>
  <si>
    <t>07.2204</t>
  </si>
  <si>
    <t>ÔÁng sắt tráng kẽm D90</t>
  </si>
  <si>
    <t>stk114</t>
  </si>
  <si>
    <t>ÔÁng sắt tráng kẽm D114</t>
  </si>
  <si>
    <t>stk140</t>
  </si>
  <si>
    <t>ÔÁng sắt tráng kẽm D140</t>
  </si>
  <si>
    <t>stk160</t>
  </si>
  <si>
    <t>ÔÁng sắt tráng kẽm D160</t>
  </si>
  <si>
    <t>stk168</t>
  </si>
  <si>
    <t>ÔÁng sắt tráng kẽm D168</t>
  </si>
  <si>
    <t>costk114</t>
  </si>
  <si>
    <t>Măng sông STK 114</t>
  </si>
  <si>
    <t>costk90</t>
  </si>
  <si>
    <t>Măng sông STK 90</t>
  </si>
  <si>
    <t>Yếm cáp dày 2mm</t>
  </si>
  <si>
    <t>Bảng kê đơn Giá nhân công  ( 67/1999/QĐ-BCN )</t>
  </si>
  <si>
    <t>Công việc</t>
  </si>
  <si>
    <t>03.8133</t>
  </si>
  <si>
    <t>Phá đá chân hố móng, đá cấp I</t>
  </si>
  <si>
    <t>MDDA2</t>
  </si>
  <si>
    <t>Phá đá chân hố móng, đá cấp II</t>
  </si>
  <si>
    <t>MDD11</t>
  </si>
  <si>
    <t>03.1101</t>
  </si>
  <si>
    <t>Đào hố móng đất cấp 1 sâu &lt;=1m</t>
  </si>
  <si>
    <t>MDD21</t>
  </si>
  <si>
    <t>03.1102</t>
  </si>
  <si>
    <t>Đào hố móng đất cấp 2 sâu &lt;=1m</t>
  </si>
  <si>
    <t>03.1103</t>
  </si>
  <si>
    <t>Đào hố móng đất cấp 3 sâu &lt;=1m</t>
  </si>
  <si>
    <t>MDD41</t>
  </si>
  <si>
    <t>03.1104</t>
  </si>
  <si>
    <t>Đào hố móng đất cấp 4 sâu &lt;=1m</t>
  </si>
  <si>
    <t>03.1112</t>
  </si>
  <si>
    <t>Đào hố móng đất cấp 2 sâu &gt;1m</t>
  </si>
  <si>
    <t>03.1013</t>
  </si>
  <si>
    <t>Đào hố móng đất cấp 3 sâu &gt;1m DT&lt;5m2</t>
  </si>
  <si>
    <t>Khoan cắt BT bằng máy khoan cằm tay</t>
  </si>
  <si>
    <t>03.1114</t>
  </si>
  <si>
    <t>Đào hố móng đất cấp 4 sâu &gt;1m</t>
  </si>
  <si>
    <t>MDAP1</t>
  </si>
  <si>
    <t>03.2201</t>
  </si>
  <si>
    <t>Đắp đất hố móng, đất cấp 1</t>
  </si>
  <si>
    <t>MDAP2</t>
  </si>
  <si>
    <t>03.2202</t>
  </si>
  <si>
    <t>Đắp đất hố móng, đất cấp 2</t>
  </si>
  <si>
    <t>03.4113</t>
  </si>
  <si>
    <t>Đắp đất hố móng, độ chặt k=0,95</t>
  </si>
  <si>
    <t>Đắp đất hố móng, đất cấp 4</t>
  </si>
  <si>
    <t>DMC2</t>
  </si>
  <si>
    <t>03.3102</t>
  </si>
  <si>
    <t>Đào mương cáp ngầm đất cấp 2</t>
  </si>
  <si>
    <t>DMC3</t>
  </si>
  <si>
    <t>03.3103</t>
  </si>
  <si>
    <t>Đào mương cáp ngầm đất cấp 3</t>
  </si>
  <si>
    <t>DMC4</t>
  </si>
  <si>
    <t>03.3104</t>
  </si>
  <si>
    <t>Đào mương cáp ngầm đất cấp 4</t>
  </si>
  <si>
    <t>DDMC2</t>
  </si>
  <si>
    <t>03.3202</t>
  </si>
  <si>
    <t>Đắp đất mương cáp ngầm, đất cấp 2</t>
  </si>
  <si>
    <t>DDMC3</t>
  </si>
  <si>
    <t>03.3203</t>
  </si>
  <si>
    <t>Đắp đất mương cáp ngầm, đất cấp 3</t>
  </si>
  <si>
    <t>DDMC4</t>
  </si>
  <si>
    <t>Đắp đất mương cáp ngầm, đất cấp 4</t>
  </si>
  <si>
    <t>DCAT</t>
  </si>
  <si>
    <t>03.7000</t>
  </si>
  <si>
    <t xml:space="preserve">Đắp cát </t>
  </si>
  <si>
    <t>DD1x2</t>
  </si>
  <si>
    <t>Đắp đá 1x2</t>
  </si>
  <si>
    <t>DD2x4</t>
  </si>
  <si>
    <t>Đắp đá 2x4</t>
  </si>
  <si>
    <t>DTD2</t>
  </si>
  <si>
    <t>Đào rãnh tiếp địa đất cấp 2</t>
  </si>
  <si>
    <t>03.3123</t>
  </si>
  <si>
    <t>Đào rãnh tiếp địa đất cấp 3</t>
  </si>
  <si>
    <t>DTD4</t>
  </si>
  <si>
    <t>Đào rãnh tiếp địa đất cấp 4</t>
  </si>
  <si>
    <t>DATD2</t>
  </si>
  <si>
    <t>Đắp đất rãnh tiếp địa cấp 2</t>
  </si>
  <si>
    <t>03.4123</t>
  </si>
  <si>
    <t>Đắp đất rãnh tiếp độ chặt k=0,95</t>
  </si>
  <si>
    <t>DATD4</t>
  </si>
  <si>
    <t>Đắp đất rãnh tiếp địa cấp 4</t>
  </si>
  <si>
    <t>LGIA</t>
  </si>
  <si>
    <t>05.6101</t>
  </si>
  <si>
    <t>Lắp Giá đỡ cáp</t>
  </si>
  <si>
    <t>lapkep</t>
  </si>
  <si>
    <t>04.3107</t>
  </si>
  <si>
    <t>Lắp kẹp các loại</t>
  </si>
  <si>
    <t>LGACH</t>
  </si>
  <si>
    <t>07.2104</t>
  </si>
  <si>
    <t>Lắp gạch làm dấu</t>
  </si>
  <si>
    <t>LNLON</t>
  </si>
  <si>
    <t>Lắp Nylon làm dấu</t>
  </si>
  <si>
    <t>Đặt đà cản 1,2m</t>
  </si>
  <si>
    <t>M15</t>
  </si>
  <si>
    <t>Đặt đà cản 1,5m</t>
  </si>
  <si>
    <t>MD25</t>
  </si>
  <si>
    <t xml:space="preserve">Đặt đà cản 2,5m </t>
  </si>
  <si>
    <t>DCT25</t>
  </si>
  <si>
    <t>Đóng cừ tràm 2,5 m</t>
  </si>
  <si>
    <t>DCT30</t>
  </si>
  <si>
    <t>Đóng cừ tràm 3 m</t>
  </si>
  <si>
    <t>DCT50</t>
  </si>
  <si>
    <t>Đóng cừ tràm 5 m</t>
  </si>
  <si>
    <t>QBT</t>
  </si>
  <si>
    <t>Quét nhựa bi tum nóng (0,2kg/m2)</t>
  </si>
  <si>
    <t>VCDA1</t>
  </si>
  <si>
    <t>02.1451</t>
  </si>
  <si>
    <t>V/c đà cản vào vị trí (cự ly &lt;=100m)</t>
  </si>
  <si>
    <t>VCDA2</t>
  </si>
  <si>
    <t>02.1452</t>
  </si>
  <si>
    <t>V/c đà cản vào vị trí (cự ly &lt;=300m)</t>
  </si>
  <si>
    <t>VCDA3</t>
  </si>
  <si>
    <t>02.1453</t>
  </si>
  <si>
    <t>V/c đà cản vào vị trí (cự ly &lt;=500m)</t>
  </si>
  <si>
    <t>VCDA4</t>
  </si>
  <si>
    <t>02.1454</t>
  </si>
  <si>
    <t>V/c đà cản vào vị trí (cự ly&gt;500m)</t>
  </si>
  <si>
    <t>VCDN1</t>
  </si>
  <si>
    <t>V/c đế néo vào vị trí (cự ly &lt;=100m)</t>
  </si>
  <si>
    <t>VCDN2</t>
  </si>
  <si>
    <t>V/c đế néo vào vị trí (cự ly &lt;=300m)</t>
  </si>
  <si>
    <t>VCDN3</t>
  </si>
  <si>
    <t>V/c đế néo vào vị trí (cự ly &lt;=500m)</t>
  </si>
  <si>
    <t>VCDN4</t>
  </si>
  <si>
    <t>V/c đế néo vào vị trí (cự ly&gt;500m)</t>
  </si>
  <si>
    <t>VCNX1</t>
  </si>
  <si>
    <t>02.1421</t>
  </si>
  <si>
    <t>V/c neo xòe vào vị trí (cự ly &lt;=100m)</t>
  </si>
  <si>
    <t>VCNX2</t>
  </si>
  <si>
    <t>02.1422</t>
  </si>
  <si>
    <t>V/c neo xòe vào vị trí (cự ly &lt;=300m)</t>
  </si>
  <si>
    <t>VCNX3</t>
  </si>
  <si>
    <t>02.1423</t>
  </si>
  <si>
    <t>V/c neo xòe vào vị trí (cự ly &lt;=500m)</t>
  </si>
  <si>
    <t>VCNX4</t>
  </si>
  <si>
    <t>02.1424</t>
  </si>
  <si>
    <t>V/c neo xòe vào vị trí (cự ly&gt;500m)</t>
  </si>
  <si>
    <t>VCC1</t>
  </si>
  <si>
    <t>02.1461</t>
  </si>
  <si>
    <t>V/c cột vào vị trí (cự ly &lt;=100m)</t>
  </si>
  <si>
    <t>VCC2</t>
  </si>
  <si>
    <t>02.1462</t>
  </si>
  <si>
    <t>V/c cột vào vị trí (cự ly &lt;=300m)</t>
  </si>
  <si>
    <t>VCC3</t>
  </si>
  <si>
    <t>02.1463</t>
  </si>
  <si>
    <t>V/c cột vào vị trí (cự ly &lt;=500m)</t>
  </si>
  <si>
    <t>VCC4</t>
  </si>
  <si>
    <t>02.1464</t>
  </si>
  <si>
    <t>V/c cột vào vị trí (cự ly &gt;500m)</t>
  </si>
  <si>
    <t>VCPK1</t>
  </si>
  <si>
    <t>V/c phụ kiện vào vị trí ( cự ly &lt;=100m)</t>
  </si>
  <si>
    <t>VCPK2</t>
  </si>
  <si>
    <t>V/c phụ kiện vào vị trí ( cự ly &lt;=300m)</t>
  </si>
  <si>
    <t>VCPK3</t>
  </si>
  <si>
    <t>V/c phụ kiện vào vị trí ( cự ly &lt;=500m)</t>
  </si>
  <si>
    <t>VCPK4</t>
  </si>
  <si>
    <t>V/c phụ kiện vào vị trí ( cự ly &gt;500m)</t>
  </si>
  <si>
    <t>VCTD1</t>
  </si>
  <si>
    <t>02.1351</t>
  </si>
  <si>
    <t>V/c tiếp địa vào vị trí ( cự ly &lt;=100m)</t>
  </si>
  <si>
    <t>VCTD2</t>
  </si>
  <si>
    <t>02.1352</t>
  </si>
  <si>
    <t>V/c tiếp địa vào vị trí ( cự ly &lt;=300m)</t>
  </si>
  <si>
    <t>VCTD3</t>
  </si>
  <si>
    <t>02.1353</t>
  </si>
  <si>
    <t>V/c tiếp địa vào vị trí ( cự ly &lt;=500m)</t>
  </si>
  <si>
    <t>VCTD4</t>
  </si>
  <si>
    <t>02.1354</t>
  </si>
  <si>
    <t>V/c tiếp địa vào vị trí ( cự ly &gt;500m)</t>
  </si>
  <si>
    <t>VCD1</t>
  </si>
  <si>
    <t>02.1441</t>
  </si>
  <si>
    <t>V/c dây vào vị trí (cự ly &lt;=100m)</t>
  </si>
  <si>
    <t>VCD2</t>
  </si>
  <si>
    <t>02.1442</t>
  </si>
  <si>
    <t>V/c dây vào vị trí (cự ly &lt;=300m)</t>
  </si>
  <si>
    <t>VCD3</t>
  </si>
  <si>
    <t>02.1443</t>
  </si>
  <si>
    <t>V/c dây vào vị trí (cự ly &lt;=500m)</t>
  </si>
  <si>
    <t>VCD4</t>
  </si>
  <si>
    <t>02.1444</t>
  </si>
  <si>
    <t>V/c dây vào vị trí (cự ly &gt; 500m)</t>
  </si>
  <si>
    <t>VCS1</t>
  </si>
  <si>
    <t>02.1431</t>
  </si>
  <si>
    <t>V/c sứ và phụ kiện vào vị trí (cự ly &lt;=100m)</t>
  </si>
  <si>
    <t>VCS2</t>
  </si>
  <si>
    <t>02.1432</t>
  </si>
  <si>
    <t>V/c sứ và phụ kiện vào vị trí (cự ly &lt;=300m)</t>
  </si>
  <si>
    <t>VCS3</t>
  </si>
  <si>
    <t>02.1433</t>
  </si>
  <si>
    <t>V/c sứ và phụ kiện vào vị trí (cự ly &lt;=500m)</t>
  </si>
  <si>
    <t>VCS4</t>
  </si>
  <si>
    <t>02.1434</t>
  </si>
  <si>
    <t>V/c sứ và phụ kiện vào vị trí (cự ly &gt; 500m)</t>
  </si>
  <si>
    <t>VCX1</t>
  </si>
  <si>
    <t>VCX2</t>
  </si>
  <si>
    <t>02.1362</t>
  </si>
  <si>
    <t>V/c xà vào vị trí (cư ly &lt;=300m)</t>
  </si>
  <si>
    <t>VCX3</t>
  </si>
  <si>
    <t>02.1363</t>
  </si>
  <si>
    <t>V/c xà vào vị trí (cư ly &lt;=500m)</t>
  </si>
  <si>
    <t>VCX4</t>
  </si>
  <si>
    <t>02.1364</t>
  </si>
  <si>
    <t>V/c xà vào vị trí (cư ly &gt;500m)</t>
  </si>
  <si>
    <t>VCDC2</t>
  </si>
  <si>
    <t>02.1483</t>
  </si>
  <si>
    <t>V/c dụng cụ thi công ( cự ly &lt;=300m)</t>
  </si>
  <si>
    <t>VCDC3</t>
  </si>
  <si>
    <t>02.1484</t>
  </si>
  <si>
    <t>V/c dụng cụ thi công ( cự ly &lt;=500m)</t>
  </si>
  <si>
    <t>VCDC4</t>
  </si>
  <si>
    <t>02.1485</t>
  </si>
  <si>
    <t>V/c dụng cụ thi công ( cự ly &gt; 500m)</t>
  </si>
  <si>
    <t>VCCT1</t>
  </si>
  <si>
    <t>02.1391</t>
  </si>
  <si>
    <t>V/c cừ tràm 2,5 -3m( cự ly &lt;=100m)</t>
  </si>
  <si>
    <t>VCCT2</t>
  </si>
  <si>
    <t>02.1392</t>
  </si>
  <si>
    <t>V/c cừ tràm 2,5-3m ( cự ly &lt;=300m)</t>
  </si>
  <si>
    <t>VCCT3</t>
  </si>
  <si>
    <t>02.1393</t>
  </si>
  <si>
    <t>V/c cừ tràm 2,5-3m ( cự ly &lt;=500m)</t>
  </si>
  <si>
    <t>VCCT4</t>
  </si>
  <si>
    <t>02.1394</t>
  </si>
  <si>
    <t>V/c cừ tràm 2,5-3m ( cự ly &gt; 500m)</t>
  </si>
  <si>
    <t>VCCT5</t>
  </si>
  <si>
    <t>02.1411</t>
  </si>
  <si>
    <t>V/c cừ tràm 5m ( cự ly &lt;=100m)</t>
  </si>
  <si>
    <t>VCCT6</t>
  </si>
  <si>
    <t>02.1412</t>
  </si>
  <si>
    <t>V/c cừ tràm 5m ( cự ly &lt;=300m)</t>
  </si>
  <si>
    <t>VCCT7</t>
  </si>
  <si>
    <t>02.1413</t>
  </si>
  <si>
    <t>V/c cừ tràm 5m ( cự ly &lt;=500m)</t>
  </si>
  <si>
    <t>VCCT8</t>
  </si>
  <si>
    <t>02.1414</t>
  </si>
  <si>
    <t>V/c cừ tràm 5m ( cự ly &gt; 500m)</t>
  </si>
  <si>
    <t>02.1211</t>
  </si>
  <si>
    <t>V/c xi măng ( cự ly &lt;=100m)</t>
  </si>
  <si>
    <t>VCXM2</t>
  </si>
  <si>
    <t>02.1212</t>
  </si>
  <si>
    <t>V/c xi măng ( cự ly &lt;=300m)</t>
  </si>
  <si>
    <t>VCXM3</t>
  </si>
  <si>
    <t>02.1213</t>
  </si>
  <si>
    <t>V/c xi măng ( cự ly &lt;=500m)</t>
  </si>
  <si>
    <t>VCXM4</t>
  </si>
  <si>
    <t>02.1214</t>
  </si>
  <si>
    <t>V/c xi măng ( cự ly &gt;500m)</t>
  </si>
  <si>
    <t>02.1241</t>
  </si>
  <si>
    <t>V/c đá dăm ( cự ly &lt;=100m)</t>
  </si>
  <si>
    <t>VCLD2</t>
  </si>
  <si>
    <t>02.1242</t>
  </si>
  <si>
    <t>V/c đá dăm ( cự ly &lt;=300m)</t>
  </si>
  <si>
    <t>VCLD3</t>
  </si>
  <si>
    <t>02.1243</t>
  </si>
  <si>
    <t>V/c đá dăm ( cự ly &lt;=500m)</t>
  </si>
  <si>
    <t>VCLD4</t>
  </si>
  <si>
    <t>02.1244</t>
  </si>
  <si>
    <t>V/c đá dăm ( cự ly &gt;500m)</t>
  </si>
  <si>
    <t>VCDAT1</t>
  </si>
  <si>
    <t>02.1264</t>
  </si>
  <si>
    <t>V/c đất đi đổ ( cự ly &gt;500m) Cấp I</t>
  </si>
  <si>
    <t>VCDAT2</t>
  </si>
  <si>
    <t>02.1274</t>
  </si>
  <si>
    <t>V/c đất đi đổ ( cự ly &gt;500m) Cấp II</t>
  </si>
  <si>
    <t>VCDAT3</t>
  </si>
  <si>
    <t>02.1284</t>
  </si>
  <si>
    <t>V/c đất đi đổ ( cự ly &gt;500m) Cấp III</t>
  </si>
  <si>
    <t>VCDAT4</t>
  </si>
  <si>
    <t>02.1294</t>
  </si>
  <si>
    <t>V/c đất đi đổ ( cự ly &gt;500m) Cấp IV</t>
  </si>
  <si>
    <t>VCCAT1D</t>
  </si>
  <si>
    <t>021221</t>
  </si>
  <si>
    <t>V/c cát đen cự ly &lt;=100m</t>
  </si>
  <si>
    <t>VCCAT2d</t>
  </si>
  <si>
    <t>021222</t>
  </si>
  <si>
    <t>V/c cát đen cự ly &lt;=300m</t>
  </si>
  <si>
    <t>VCCAT3d</t>
  </si>
  <si>
    <t>021223</t>
  </si>
  <si>
    <t>V/c cát đen cự ly &lt;=500m</t>
  </si>
  <si>
    <t>VCCAT4d</t>
  </si>
  <si>
    <t>021224</t>
  </si>
  <si>
    <t>V/c cát đen cự ly &gt;500m</t>
  </si>
  <si>
    <t>02.1231</t>
  </si>
  <si>
    <t>V/c cát vàng cự ly &lt;=100m</t>
  </si>
  <si>
    <t>VCCAT2</t>
  </si>
  <si>
    <t>02.1232</t>
  </si>
  <si>
    <t>V/c cát vàng cự ly &lt;=300m</t>
  </si>
  <si>
    <t>VCCAT3</t>
  </si>
  <si>
    <t>02.1233</t>
  </si>
  <si>
    <t>V/c cát vàng cự ly &lt;=500m</t>
  </si>
  <si>
    <t>VCCAT4</t>
  </si>
  <si>
    <t>02.1234</t>
  </si>
  <si>
    <t>V/c cát cự vàng ly &gt;500m</t>
  </si>
  <si>
    <t>VCFE1</t>
  </si>
  <si>
    <t>V/c cốt thép ( cự ly &lt;=100m)</t>
  </si>
  <si>
    <t>VCFE2</t>
  </si>
  <si>
    <t>V/c cốt thép ( cự ly &lt;=300m)</t>
  </si>
  <si>
    <t>VCFE3</t>
  </si>
  <si>
    <t>V/c cốt thép ( cự ly &lt;=500m)</t>
  </si>
  <si>
    <t>VCFE4</t>
  </si>
  <si>
    <t>V/c cốt thép ( cự ly &gt;500m)</t>
  </si>
  <si>
    <t>02.1123</t>
  </si>
  <si>
    <t>Bốc dỡ đà cản, đế néo</t>
  </si>
  <si>
    <t>BOCNX</t>
  </si>
  <si>
    <t>02.3111</t>
  </si>
  <si>
    <t>Bốc dỡ neo xèo</t>
  </si>
  <si>
    <t>BOCTR</t>
  </si>
  <si>
    <t>02.1124</t>
  </si>
  <si>
    <t xml:space="preserve">Bốc dỡ trụ </t>
  </si>
  <si>
    <t>BOCX</t>
  </si>
  <si>
    <t>02.1115</t>
  </si>
  <si>
    <t>BOCD</t>
  </si>
  <si>
    <t>02.1122</t>
  </si>
  <si>
    <t>Bốc dỡ dây</t>
  </si>
  <si>
    <t>BOCPK</t>
  </si>
  <si>
    <t>02.1120</t>
  </si>
  <si>
    <t>Bốc dỡ phụ kiện</t>
  </si>
  <si>
    <t>BOCS</t>
  </si>
  <si>
    <t>02.1121</t>
  </si>
  <si>
    <t>Bốc dỡ sứ</t>
  </si>
  <si>
    <t>BOCTH</t>
  </si>
  <si>
    <t>02.1114</t>
  </si>
  <si>
    <t>Bốc dỡ cốt thép</t>
  </si>
  <si>
    <t>02.1101</t>
  </si>
  <si>
    <t>Bốc dỡ xi măng</t>
  </si>
  <si>
    <t>02.1103</t>
  </si>
  <si>
    <t>Bốc dỡ cát</t>
  </si>
  <si>
    <t>Bốc dỡ đá dăm</t>
  </si>
  <si>
    <t>BOBT</t>
  </si>
  <si>
    <t>02.1110</t>
  </si>
  <si>
    <t>Bốc dỡ bê tông</t>
  </si>
  <si>
    <t>02.1119</t>
  </si>
  <si>
    <t>Bốc dỡ cừ tràm 5m</t>
  </si>
  <si>
    <t>05.7001</t>
  </si>
  <si>
    <t xml:space="preserve">Kéo dây tiếp địa </t>
  </si>
  <si>
    <t>KTDTBA</t>
  </si>
  <si>
    <t>04.7002</t>
  </si>
  <si>
    <t>Kéo dây tiếp địa trong TBA</t>
  </si>
  <si>
    <t>05.8103</t>
  </si>
  <si>
    <t>Đóng cọc tiếp địa đất cấp 3</t>
  </si>
  <si>
    <t>DCTD4</t>
  </si>
  <si>
    <t>05.8003</t>
  </si>
  <si>
    <t>Đóng cọc tiếp địa đất cấp 4</t>
  </si>
  <si>
    <t>DCTDTBA</t>
  </si>
  <si>
    <t>04.7001</t>
  </si>
  <si>
    <t>Đóng cọc tiếp địa trong TBA</t>
  </si>
  <si>
    <t>C8</t>
  </si>
  <si>
    <t>05.5211</t>
  </si>
  <si>
    <t>Dựng trụ BTLT &lt;8m bằng thủ công</t>
  </si>
  <si>
    <t>C10</t>
  </si>
  <si>
    <t>05.5212</t>
  </si>
  <si>
    <t>Dựng trụ BTLT &lt;=10m bằng thủ công</t>
  </si>
  <si>
    <t>C105</t>
  </si>
  <si>
    <t>05.5213</t>
  </si>
  <si>
    <t>Dựng trụ BTLT 10,5m bằng thủ công</t>
  </si>
  <si>
    <t>Dựng trụ BTLT 12m bằng thủ công</t>
  </si>
  <si>
    <t>C14</t>
  </si>
  <si>
    <t>05.5214</t>
  </si>
  <si>
    <t>Dựng trụ BTLT 14m bằng thủ công</t>
  </si>
  <si>
    <t>C20</t>
  </si>
  <si>
    <t>05.5217</t>
  </si>
  <si>
    <t>Dựng trụ BTLT 20m bằng thủ công</t>
  </si>
  <si>
    <t>05.5202</t>
  </si>
  <si>
    <t>Dựng trụ BTLT &lt;8m thủ công +cơ giới</t>
  </si>
  <si>
    <t>05.5302</t>
  </si>
  <si>
    <t>Dựng trụ BTLT &lt;10m thủ công +cơ giới</t>
  </si>
  <si>
    <t>05.5402</t>
  </si>
  <si>
    <t>Dựng trụ BTLT 10,5m thủ công + cơ giới</t>
  </si>
  <si>
    <t>Dựng trụ BTLT 12m thủ công + cơ giới</t>
  </si>
  <si>
    <t>05.5224</t>
  </si>
  <si>
    <t>Dựng trụ BTLT 14m thủ công + cơ giới</t>
  </si>
  <si>
    <t>05.5227</t>
  </si>
  <si>
    <t>Dựng trụ BTLT 20m thủ công + cơ giới</t>
  </si>
  <si>
    <t>C12m-TBA</t>
  </si>
  <si>
    <t>04.9203</t>
  </si>
  <si>
    <t>Dựng trụ BTLT 12m trong TBA bằng thủ công + cơ giới</t>
  </si>
  <si>
    <t>C10m-TBA</t>
  </si>
  <si>
    <t>Dựng trụ BTLT 10,5m trong TBA bằng thủ công + cơ giới</t>
  </si>
  <si>
    <t>05.6401</t>
  </si>
  <si>
    <t>Lắp xà đỡ ≤ 25kg</t>
  </si>
  <si>
    <t>05.6102</t>
  </si>
  <si>
    <t>Lắp xà đỡ ≤ 50kg</t>
  </si>
  <si>
    <t>05.6201</t>
  </si>
  <si>
    <t>Lắp xà néo ≤ 25kg</t>
  </si>
  <si>
    <t>05.6202</t>
  </si>
  <si>
    <t>Lắp xà néo ≤ 50kg</t>
  </si>
  <si>
    <t>05.6203</t>
  </si>
  <si>
    <t>Lắp xà néo ≤ 100kg</t>
  </si>
  <si>
    <t>05.6301</t>
  </si>
  <si>
    <t>Lắp xà trụ ghép ≤ 140kg</t>
  </si>
  <si>
    <t>LXIDL</t>
  </si>
  <si>
    <t>05.6302</t>
  </si>
  <si>
    <t>Lắp xà trụ ghép ≤ 230kg</t>
  </si>
  <si>
    <t>05.6044</t>
  </si>
  <si>
    <t>LXHN2</t>
  </si>
  <si>
    <t>05.6402</t>
  </si>
  <si>
    <t>Lắp xà cột Pi loại ≤ 230kg/xà</t>
  </si>
  <si>
    <t>LXHN3</t>
  </si>
  <si>
    <t>05.6403</t>
  </si>
  <si>
    <t>Lắp xà cột Pi loại ≤ 320kg/xà</t>
  </si>
  <si>
    <t>LDAUCAP70</t>
  </si>
  <si>
    <t>07.4312</t>
  </si>
  <si>
    <t>Lắp đầu cáp trung thế 3x50mm2, 70mm2</t>
  </si>
  <si>
    <t>LDAUCAP120</t>
  </si>
  <si>
    <t>07.4313</t>
  </si>
  <si>
    <t>Lắp đầu cáp trung thế 3x120mm2, 95mm2</t>
  </si>
  <si>
    <t>LDAUCAP185</t>
  </si>
  <si>
    <t>07.4314</t>
  </si>
  <si>
    <t>Lắp đầu cáp trung thế 3x150mm2, 185mm2</t>
  </si>
  <si>
    <t>LDAUCAP70HT</t>
  </si>
  <si>
    <t>07.4102</t>
  </si>
  <si>
    <t>Lắp đầu cáp hạ thế 3x50mm2, 70mm2</t>
  </si>
  <si>
    <t>LDAUCAP120HT</t>
  </si>
  <si>
    <t>07.4103</t>
  </si>
  <si>
    <t>Lắp đầu cáp hạ thế 3x120mm2, 95mm2</t>
  </si>
  <si>
    <t>LDAUCAP185HT</t>
  </si>
  <si>
    <t>07.4104</t>
  </si>
  <si>
    <t>Lắp đầu cáp hạ thế 3x150mm2, 185mm2</t>
  </si>
  <si>
    <t>Lắp tấm bakelit</t>
  </si>
  <si>
    <t>LCHI</t>
  </si>
  <si>
    <t>Lắp cầu chì 5A</t>
  </si>
  <si>
    <t>Lắp chân sứ đỉnh</t>
  </si>
  <si>
    <t>05.6011</t>
  </si>
  <si>
    <t>Lắp bộ chống lệch</t>
  </si>
  <si>
    <t>06.3241</t>
  </si>
  <si>
    <t>Lắp bộ dây néo</t>
  </si>
  <si>
    <t>NXOE</t>
  </si>
  <si>
    <t>Đặt neo xòe 8 hướng (dày 3,2mm)</t>
  </si>
  <si>
    <t>LDN0212</t>
  </si>
  <si>
    <t>Đặt đế néo BTCT 200x1200</t>
  </si>
  <si>
    <t>LDN0412</t>
  </si>
  <si>
    <t>Đặt đế néo BTCT 400x1200</t>
  </si>
  <si>
    <t>LDN0415</t>
  </si>
  <si>
    <t>Đặt đế néo BTCT 400x1500</t>
  </si>
  <si>
    <t>LDN0615</t>
  </si>
  <si>
    <t>Đặt đế néo BTCT 600x1500</t>
  </si>
  <si>
    <t>LDN4</t>
  </si>
  <si>
    <t>Đặt đế néo BTCT 500x1200</t>
  </si>
  <si>
    <t>LDN6</t>
  </si>
  <si>
    <t>Đặt đế néo BTCT 500x1500</t>
  </si>
  <si>
    <t>04.3112</t>
  </si>
  <si>
    <t>Đổ bê tông mác M100 đá 4x6</t>
  </si>
  <si>
    <t>04.1203b</t>
  </si>
  <si>
    <t>Đổ bê tông mác M150 đá 1x2</t>
  </si>
  <si>
    <t>04.1203c</t>
  </si>
  <si>
    <t>Đổ bê tông móng trụ &lt;=250cm-M200 đá 1x2</t>
  </si>
  <si>
    <t>04.5101</t>
  </si>
  <si>
    <t>Gia công và lắp dựng cốt thép D&lt;=10</t>
  </si>
  <si>
    <t>LCT18</t>
  </si>
  <si>
    <t>04.1102</t>
  </si>
  <si>
    <t>Gia công và lắp dựng cốt thép D&lt;=18</t>
  </si>
  <si>
    <t>LCT&gt;18</t>
  </si>
  <si>
    <t>04.1103</t>
  </si>
  <si>
    <t>Gia công và lắp dựng cốt thép D&gt;18</t>
  </si>
  <si>
    <t>04.2001</t>
  </si>
  <si>
    <t>Gia công và lắp dựng ván khuôn</t>
  </si>
  <si>
    <t>KDA35</t>
  </si>
  <si>
    <t>06.6123</t>
  </si>
  <si>
    <t>Kéo dây nhôm cỡ dây 35mm2</t>
  </si>
  <si>
    <t>km</t>
  </si>
  <si>
    <t>KDA50</t>
  </si>
  <si>
    <t>06.6124</t>
  </si>
  <si>
    <t>Kéo dây nhôm cỡ dây 50mm2</t>
  </si>
  <si>
    <t>KDA70</t>
  </si>
  <si>
    <t>06.6125</t>
  </si>
  <si>
    <t>Kéo dây nhôm cỡ dây 70mm2</t>
  </si>
  <si>
    <t>KDA95</t>
  </si>
  <si>
    <t>06.6126</t>
  </si>
  <si>
    <t>Kéo dây nhôm cỡ dây 95mm2</t>
  </si>
  <si>
    <t>KDA35B</t>
  </si>
  <si>
    <t>06.6103</t>
  </si>
  <si>
    <t>Kéo dây nhôm bọc 35mm2</t>
  </si>
  <si>
    <t>Kéo dây nhôm bọc 50mm2</t>
  </si>
  <si>
    <t>06.6105</t>
  </si>
  <si>
    <t>Kéo dây nhôm bọc 70mm2</t>
  </si>
  <si>
    <t>06.6106</t>
  </si>
  <si>
    <t>Kéo dây nhôm bọc 95mm2</t>
  </si>
  <si>
    <t>06.6107</t>
  </si>
  <si>
    <t>Kéo dây nhôm bọc 120mm2</t>
  </si>
  <si>
    <t>06.6108</t>
  </si>
  <si>
    <t>Kéo dây nhôm bọc 150mm2</t>
  </si>
  <si>
    <t>06.6109</t>
  </si>
  <si>
    <t>Kéo dây nhôm bọc 185mm2</t>
  </si>
  <si>
    <t>06.6110</t>
  </si>
  <si>
    <t>Kéo dây nhôm bọc 240mm2</t>
  </si>
  <si>
    <t>06.7007</t>
  </si>
  <si>
    <t>Kéo dây ABC 4x150mm2</t>
  </si>
  <si>
    <t>KDAABC120</t>
  </si>
  <si>
    <t>Kéo dây ABC 4x120mm2</t>
  </si>
  <si>
    <t>06.7006</t>
  </si>
  <si>
    <t>Kéo dây ABC 3x95mm2</t>
  </si>
  <si>
    <t>KDAABC70</t>
  </si>
  <si>
    <t>06.6505</t>
  </si>
  <si>
    <t>Kéo dây ABC 4x70mm2</t>
  </si>
  <si>
    <t>06.6504</t>
  </si>
  <si>
    <t>Kéo dây ABC 4x50mm2</t>
  </si>
  <si>
    <t>KDAC35</t>
  </si>
  <si>
    <t>Kéo dây nhôm lõi thép cỡ dây 35mm2</t>
  </si>
  <si>
    <t>06.6114</t>
  </si>
  <si>
    <t>Kéo dây nhôm lõi thép cỡ dây 50mm2</t>
  </si>
  <si>
    <t>Kéo dây nhôm lõi thép cỡ dây 70mm2</t>
  </si>
  <si>
    <t>Kéo dây nhôm lõi thép cỡ dây 95mm2</t>
  </si>
  <si>
    <t>Kéo dây nhôm lõi thép cỡ dây 120mm2</t>
  </si>
  <si>
    <t>Kéo dây nhôm lõi thép cỡ dây 150mm2</t>
  </si>
  <si>
    <t>Kéo dây nhôm bọc cỡ dây 50mm2</t>
  </si>
  <si>
    <t>KDACXV150</t>
  </si>
  <si>
    <t>Kéo dây nhôm lõi thép bọc XLPE cỡ dây 150mm2</t>
  </si>
  <si>
    <t>Kéo dây nhôm lõi thép cỡ dây 185mm2</t>
  </si>
  <si>
    <t>Kéo dây nhôm lõi thép cỡ dây 240mm2</t>
  </si>
  <si>
    <t>KDM22</t>
  </si>
  <si>
    <t>06.6142</t>
  </si>
  <si>
    <t>Kéo dây đồng trần 22mm2</t>
  </si>
  <si>
    <t>Kéo dây đồng trần 25mm2</t>
  </si>
  <si>
    <t>KDM35</t>
  </si>
  <si>
    <t>06.6143</t>
  </si>
  <si>
    <t>Kéo dây đồng trần 35mm2</t>
  </si>
  <si>
    <t>KDM48</t>
  </si>
  <si>
    <t>06.6144</t>
  </si>
  <si>
    <t>Kéo dây đồng trần 48mm2</t>
  </si>
  <si>
    <t>KDM50</t>
  </si>
  <si>
    <t>Kéo dây đồng trần 50mm2</t>
  </si>
  <si>
    <t>KDM70</t>
  </si>
  <si>
    <t>06.6145</t>
  </si>
  <si>
    <t>Kéo dây đồng trần 70mm2</t>
  </si>
  <si>
    <t>KDM95</t>
  </si>
  <si>
    <t>06.6146</t>
  </si>
  <si>
    <t>Kéo dây đồng trần 95mm2</t>
  </si>
  <si>
    <t>KDM25B</t>
  </si>
  <si>
    <t>Kéo dây đồng bọc 25mm2</t>
  </si>
  <si>
    <t>KDM50B</t>
  </si>
  <si>
    <t>Kéo dây đồng bọc 50mm3</t>
  </si>
  <si>
    <t>KDM95B</t>
  </si>
  <si>
    <t>Kéo dây đồng bọc 95mm2</t>
  </si>
  <si>
    <t>KDQG1</t>
  </si>
  <si>
    <t>06.5071</t>
  </si>
  <si>
    <t>Kéo dây qua vị trí bẻ góc dây &lt;=50mm2</t>
  </si>
  <si>
    <t>vị trí</t>
  </si>
  <si>
    <t>06.5072</t>
  </si>
  <si>
    <t xml:space="preserve">Kéo dây qua vị trí bẻ góc dây </t>
  </si>
  <si>
    <t>06.5082</t>
  </si>
  <si>
    <t>Kéo dây qua sông ( S&lt;=300)</t>
  </si>
  <si>
    <t>KDQMR</t>
  </si>
  <si>
    <t>Kéo dây qua mương rạch</t>
  </si>
  <si>
    <t>KDQD</t>
  </si>
  <si>
    <t>06.5051</t>
  </si>
  <si>
    <t>Kéo dây vượt đường ( dây &lt;=50mm2)</t>
  </si>
  <si>
    <t>KDQD1</t>
  </si>
  <si>
    <t>06.5052</t>
  </si>
  <si>
    <t>Kéo dây vượt đường (dây &lt;=95mm2)</t>
  </si>
  <si>
    <t>LSTK100</t>
  </si>
  <si>
    <t>Lắp ống sắt bảo vệ cáp d&lt;100mm</t>
  </si>
  <si>
    <t>LSTK70</t>
  </si>
  <si>
    <t>07.2203</t>
  </si>
  <si>
    <t>Lắp ống sắt bảo vệ cáp d&lt;70mm</t>
  </si>
  <si>
    <t>LSTK50</t>
  </si>
  <si>
    <t>07.2202</t>
  </si>
  <si>
    <t>Lắp ống sắt bảo vệ cáp d&lt;50mm</t>
  </si>
  <si>
    <t>LSTK120d</t>
  </si>
  <si>
    <t>07.2301</t>
  </si>
  <si>
    <t>Lắp ống sắt bảo vệ cáp qua đường d&lt;120mm</t>
  </si>
  <si>
    <t>LSTK220d</t>
  </si>
  <si>
    <t>07.2302</t>
  </si>
  <si>
    <t>Lắp ống sắt bảo vệ cáp qua đường d&lt;220mm</t>
  </si>
  <si>
    <t>LPVC42CL</t>
  </si>
  <si>
    <t>07,2403</t>
  </si>
  <si>
    <t>Lắp ống nhựa PVC D42</t>
  </si>
  <si>
    <t>LPVC60CL</t>
  </si>
  <si>
    <t>07,2404</t>
  </si>
  <si>
    <t>Lắp ống nhựa PVC D60</t>
  </si>
  <si>
    <t>LPVC90CL</t>
  </si>
  <si>
    <t>07.2415</t>
  </si>
  <si>
    <t>Lắp ống nhựa PVC D90</t>
  </si>
  <si>
    <t>LPVC114CL</t>
  </si>
  <si>
    <t>07,2407</t>
  </si>
  <si>
    <t>Lắp ống nhựa PVC D114</t>
  </si>
  <si>
    <t>LPVC140CL</t>
  </si>
  <si>
    <t>Lắp ống nhựa PVC D140</t>
  </si>
  <si>
    <t>LPVC</t>
  </si>
  <si>
    <t>04.8103</t>
  </si>
  <si>
    <t xml:space="preserve">Lắp ống PVC </t>
  </si>
  <si>
    <t>KCN1kg</t>
  </si>
  <si>
    <t>07.3401</t>
  </si>
  <si>
    <t>Lắp cáp trong ống bảo vệ loại &lt;=1kg</t>
  </si>
  <si>
    <t>KCN2kg</t>
  </si>
  <si>
    <t>07.3402</t>
  </si>
  <si>
    <t>Lắp cáp trong ống bảo vệ loại &lt;=2kg</t>
  </si>
  <si>
    <t>KCN3kg</t>
  </si>
  <si>
    <t>07.3403</t>
  </si>
  <si>
    <t>Lắp cáp trong ống bảo vệ loại &lt;=3kg</t>
  </si>
  <si>
    <t>KCN4kg</t>
  </si>
  <si>
    <t>07.3404</t>
  </si>
  <si>
    <t>Lắp cáp trong ống bảo vệ loại &lt;=4.5kg</t>
  </si>
  <si>
    <t>KCN6kg</t>
  </si>
  <si>
    <t>07.3405</t>
  </si>
  <si>
    <t>Lắp cáp trong ống bảo vệ loại &lt;=6kg</t>
  </si>
  <si>
    <t>KCN7kg</t>
  </si>
  <si>
    <t>07.3406</t>
  </si>
  <si>
    <t>Lắp cáp trong ống bảo vệ loại &lt;=7.5kg</t>
  </si>
  <si>
    <t>KCN9kg</t>
  </si>
  <si>
    <t>07.3407</t>
  </si>
  <si>
    <t>Lắp cáp trong ống bảo vệ loại &lt;=9kg</t>
  </si>
  <si>
    <t>KCN10kg</t>
  </si>
  <si>
    <t>07.3408</t>
  </si>
  <si>
    <t>Lắp cáp trong ống bảo vệ loại &lt;=10.5kg</t>
  </si>
  <si>
    <t>KCN12kg</t>
  </si>
  <si>
    <t>07.3409</t>
  </si>
  <si>
    <t>Lắp cáp trong ống bảo vệ loại &lt;=12kg</t>
  </si>
  <si>
    <t>KCNT1kg</t>
  </si>
  <si>
    <t>Lắp cáp trong ống bảo vệ trong TBA loại &lt;=1kg</t>
  </si>
  <si>
    <t>KCNT2kg</t>
  </si>
  <si>
    <t>03.1402</t>
  </si>
  <si>
    <t>Lắp cáp trong ống bảo vệ trong TBA loại &lt;=2kg</t>
  </si>
  <si>
    <t>KCNT3kg</t>
  </si>
  <si>
    <t>03.1403</t>
  </si>
  <si>
    <t>Lắp cáp trong ống bảo vệ trong TBA loại &lt;=3kg</t>
  </si>
  <si>
    <t>KCNT4kg</t>
  </si>
  <si>
    <t>03.1404</t>
  </si>
  <si>
    <t>Lắp cáp trong ống bảo vệ trong TBA loại &lt;=4.5kg</t>
  </si>
  <si>
    <t>KCNT6kg</t>
  </si>
  <si>
    <t>03.1405</t>
  </si>
  <si>
    <t>Lắp cáp trong ống bảo vệ trong TBA loại &lt;=6kg</t>
  </si>
  <si>
    <t>KCNT7kg</t>
  </si>
  <si>
    <t>03.1406</t>
  </si>
  <si>
    <t>Lắp cáp trong ống bảo vệ trong TBA loại &lt;=7.5kg</t>
  </si>
  <si>
    <t>KCNT9kg</t>
  </si>
  <si>
    <t>03.1407</t>
  </si>
  <si>
    <t>Lắp cáp trong ống bảo vệ trong TBA loại &lt;=9kg</t>
  </si>
  <si>
    <t>06.1115</t>
  </si>
  <si>
    <t>Tháo sứ đứng 24KV</t>
  </si>
  <si>
    <t>lsd35</t>
  </si>
  <si>
    <t>06.1116</t>
  </si>
  <si>
    <t>Lắp sứ đứng 35KV</t>
  </si>
  <si>
    <t>06.1410</t>
  </si>
  <si>
    <t>Lắp chuỗi sứ đỡ 2 bát/chuỗi</t>
  </si>
  <si>
    <t>06.1511</t>
  </si>
  <si>
    <t>Lắp chuỗi sứ néo 2 bát/chuỗi</t>
  </si>
  <si>
    <t>06.2201</t>
  </si>
  <si>
    <t>Lắp chuỗi sứ néo Polymer</t>
  </si>
  <si>
    <t>LCHSN3</t>
  </si>
  <si>
    <t>06.1521</t>
  </si>
  <si>
    <t>Lắp chuỗi sứ néo 3 bát/chuỗi</t>
  </si>
  <si>
    <t>06.1211</t>
  </si>
  <si>
    <t>Lắp rack sứ + sứ ống chỉ</t>
  </si>
  <si>
    <t>06.1213</t>
  </si>
  <si>
    <t>Lắp rack 2 sứ + sứ ống chỉ</t>
  </si>
  <si>
    <t>06.1214</t>
  </si>
  <si>
    <t>Lắp rack 3 sứ + sứ ống chỉ</t>
  </si>
  <si>
    <t>06.1215</t>
  </si>
  <si>
    <t>Lắp rack 4 sứ + sứ ống chỉ</t>
  </si>
  <si>
    <t>LTRUHL-I</t>
  </si>
  <si>
    <t>HL16</t>
  </si>
  <si>
    <t xml:space="preserve">Dựng trụ đỡ đường dây 3 pha </t>
  </si>
  <si>
    <t>HL02</t>
  </si>
  <si>
    <t>Lắp sứ đứng đường dây 3 pha xà đối xứng</t>
  </si>
  <si>
    <t>HL05</t>
  </si>
  <si>
    <t>Lắp chuỗi sứ néo Polymer đường dây 3 pha</t>
  </si>
  <si>
    <t>HL07</t>
  </si>
  <si>
    <t>Đấu cò lèo đường dây 3 pha</t>
  </si>
  <si>
    <t>cò</t>
  </si>
  <si>
    <t>HL13</t>
  </si>
  <si>
    <t>Lắp xà</t>
  </si>
  <si>
    <t>HL03</t>
  </si>
  <si>
    <t>Lắp sứ đứng đường dây 3 pha xà vectical</t>
  </si>
  <si>
    <t>HL09</t>
  </si>
  <si>
    <t>Lắp FCO, LBFCO đường dây 3 pha</t>
  </si>
  <si>
    <t>Lắp LA</t>
  </si>
  <si>
    <t>06.2070</t>
  </si>
  <si>
    <t>Sơn biển số- bảng nguy hiểm</t>
  </si>
  <si>
    <t>LcapdongTB95</t>
  </si>
  <si>
    <t>Lắp cáp đồng xuống thiết bị D ≤ 95mm2</t>
  </si>
  <si>
    <t>LcapdongTB150</t>
  </si>
  <si>
    <t>04.4202</t>
  </si>
  <si>
    <t>Lắp cáp đồng xuống thiết bị D ≤ 150mm2</t>
  </si>
  <si>
    <t>LcapdongTB240</t>
  </si>
  <si>
    <t>04.4203</t>
  </si>
  <si>
    <t>Lắp cáp đồng xuống thiết bị D &gt; 150mm2</t>
  </si>
  <si>
    <t>02.3505</t>
  </si>
  <si>
    <t>Lắp FCO 24KV</t>
  </si>
  <si>
    <t>LLBFCO</t>
  </si>
  <si>
    <t>Lắp LBFCO 24KV</t>
  </si>
  <si>
    <t>PT</t>
  </si>
  <si>
    <t>01.1112</t>
  </si>
  <si>
    <t>Phát tuyến</t>
  </si>
  <si>
    <t>PHABETONG</t>
  </si>
  <si>
    <t>07.1113</t>
  </si>
  <si>
    <t>Phá đường nhựa bằng thủ công</t>
  </si>
  <si>
    <t>Bảng kê đơn Giá trạm biến áp ( 66/1999/QĐ-BCN)</t>
  </si>
  <si>
    <t>TR15</t>
  </si>
  <si>
    <t>01.1161</t>
  </si>
  <si>
    <t>Máy biến áp 8,6(12,7)/0,22- 0,44kV  15kVA</t>
  </si>
  <si>
    <t>máy</t>
  </si>
  <si>
    <t>TR25</t>
  </si>
  <si>
    <t>Máy biến áp 8,6(12,7)/0,22- 0,44kV  25kVA</t>
  </si>
  <si>
    <t>TR37</t>
  </si>
  <si>
    <t>01.1162</t>
  </si>
  <si>
    <t>Máy biến áp 8,6(12,7)/0,22-0,44kV- 37,5kVA</t>
  </si>
  <si>
    <t>TR50</t>
  </si>
  <si>
    <t>Máy biến áp 8,6(12,7)/0,22-0,44kV- 50kVA</t>
  </si>
  <si>
    <t>TR75</t>
  </si>
  <si>
    <t>01.1163</t>
  </si>
  <si>
    <t>Máy biến áp 8,6(12,7)/0,22-0,44kV- 75kVA</t>
  </si>
  <si>
    <t>T100</t>
  </si>
  <si>
    <t>01.1164</t>
  </si>
  <si>
    <t>Máy biến áp 8,6(12,7)/0,22-0,44kV- 100kVA</t>
  </si>
  <si>
    <t>TR151</t>
  </si>
  <si>
    <t>Máy biến áp 12,7/0,22-0,44kV  15kVA</t>
  </si>
  <si>
    <t>TR251</t>
  </si>
  <si>
    <t>Máy biến áp 12,7/0,22-0,44kV  25kVA</t>
  </si>
  <si>
    <t>TR371</t>
  </si>
  <si>
    <t>01.1412</t>
  </si>
  <si>
    <t>Máy biến áp 12,7/0,22-0,44kV  37,5kVA</t>
  </si>
  <si>
    <t>TR501</t>
  </si>
  <si>
    <t>Máy biến áp 12,7/0,22-0,44kV  50kVA</t>
  </si>
  <si>
    <t>TR751</t>
  </si>
  <si>
    <t>Máy biến áp 12,7/0,23-0,46kV  75kVA</t>
  </si>
  <si>
    <t>T1001</t>
  </si>
  <si>
    <t>Máy biến áp 12,7/0,22-0,44kV  100kVA</t>
  </si>
  <si>
    <t>TR100</t>
  </si>
  <si>
    <t>01.1153</t>
  </si>
  <si>
    <t>Máy biến áp 15(22)/0,4kV- 100kVA</t>
  </si>
  <si>
    <t>TR160</t>
  </si>
  <si>
    <t>01.1154</t>
  </si>
  <si>
    <t>Máy biến áp 15(22)/0,4kV- 160kVA</t>
  </si>
  <si>
    <t>TR180</t>
  </si>
  <si>
    <t>Máy biến áp 15(22)/0,4kV- 180kVA</t>
  </si>
  <si>
    <t>TR250</t>
  </si>
  <si>
    <t>01.1155</t>
  </si>
  <si>
    <t>Máy biến áp 15(22)/0,4kV- 250kVA</t>
  </si>
  <si>
    <t>TR320</t>
  </si>
  <si>
    <t>Máy biến áp 15(22)/0,4kV- 320kVA</t>
  </si>
  <si>
    <t>TR400</t>
  </si>
  <si>
    <t>Máy biến áp 15(22)/0,4kV- 400kVA</t>
  </si>
  <si>
    <t>TR560</t>
  </si>
  <si>
    <t>01.1156</t>
  </si>
  <si>
    <t>Máy biến áp 15(22)/0,4kV- 560kVA</t>
  </si>
  <si>
    <t>TR630</t>
  </si>
  <si>
    <t>Máy biến áp 15(22)/0,4kV- 630kVA</t>
  </si>
  <si>
    <t>TR750</t>
  </si>
  <si>
    <t>01.1157</t>
  </si>
  <si>
    <t>Máy biến áp 15(22)/0,4kV- 750kVA</t>
  </si>
  <si>
    <t>TR1000</t>
  </si>
  <si>
    <t>Máy biến áp 15(22)/0,4kV- 1000kVA</t>
  </si>
  <si>
    <t>TR1250</t>
  </si>
  <si>
    <t>Máy biến áp 15(22)/0,4kV- 1250kVA</t>
  </si>
  <si>
    <t>TR1500</t>
  </si>
  <si>
    <t>Máy biến áp 15(22)/0,4kV- 1500kVA</t>
  </si>
  <si>
    <t>TR1600</t>
  </si>
  <si>
    <t>Máy biến áp 15(22)/0,4kV- 1600kVA</t>
  </si>
  <si>
    <t>TR2000</t>
  </si>
  <si>
    <t>Máy biến áp 15(22)/0,4kV- 2000kVA</t>
  </si>
  <si>
    <t>TR2500</t>
  </si>
  <si>
    <t>Máy biến áp 15(22)/0,4kV- 2500kVA</t>
  </si>
  <si>
    <t>TR3000</t>
  </si>
  <si>
    <t>Máy biến áp 15(22)/0,4kV- 3000kVA</t>
  </si>
  <si>
    <t>TR4000</t>
  </si>
  <si>
    <t>Máy biến áp 15(22)/0,4kV- 4000kVA</t>
  </si>
  <si>
    <t>TR1001</t>
  </si>
  <si>
    <t>01.1143</t>
  </si>
  <si>
    <t>Máy biến áp 22/0,4kV  100kVA</t>
  </si>
  <si>
    <t>TR1601</t>
  </si>
  <si>
    <t>01.1144</t>
  </si>
  <si>
    <t>Máy biến áp 22/0,4kV  160kVA</t>
  </si>
  <si>
    <t>TR1801</t>
  </si>
  <si>
    <t>Máy biến áp 22/0,4kV  180kVA</t>
  </si>
  <si>
    <t>TR2501</t>
  </si>
  <si>
    <t>01.1415</t>
  </si>
  <si>
    <t>Máy biến áp 22/0,4kV- 250kVA</t>
  </si>
  <si>
    <t>TR3201</t>
  </si>
  <si>
    <t>01.1145</t>
  </si>
  <si>
    <t>Máy biến áp 22/0,4kV- 320kVA</t>
  </si>
  <si>
    <t>TR4001</t>
  </si>
  <si>
    <t>01.1146</t>
  </si>
  <si>
    <t>Máy biến áp 22/0,4kV- 400kVA</t>
  </si>
  <si>
    <t>TR5601</t>
  </si>
  <si>
    <t>Máy biến áp 22/0,4kV- 560kVA</t>
  </si>
  <si>
    <t>TR6301</t>
  </si>
  <si>
    <t>Máy biến áp 22/0,4kV- 630kVA</t>
  </si>
  <si>
    <t>TR7501</t>
  </si>
  <si>
    <t>01.1147</t>
  </si>
  <si>
    <t>Máy biến áp 22/0,4kV- 750kVA</t>
  </si>
  <si>
    <t>TR10001</t>
  </si>
  <si>
    <t>Máy biến áp 22/0,4kV- 1000kVA</t>
  </si>
  <si>
    <t>TR12501</t>
  </si>
  <si>
    <t>Máy biến áp 22/0,4kV- 1250kVA</t>
  </si>
  <si>
    <t>TR15001</t>
  </si>
  <si>
    <t>Máy biến áp 22/0,4kV- 1500kVA</t>
  </si>
  <si>
    <t>TR16001</t>
  </si>
  <si>
    <t>Máy biến áp 22/0,4kV- 1600kVA</t>
  </si>
  <si>
    <t>TR20001</t>
  </si>
  <si>
    <t>Máy biến áp 22/0,4kV- 2000kVA</t>
  </si>
  <si>
    <t>TR25001</t>
  </si>
  <si>
    <t>Máy biến áp 22/0,4kV- 2500kVA</t>
  </si>
  <si>
    <t>TR30001</t>
  </si>
  <si>
    <t>Máy biến áp 22/0,4kV- 3000kVA</t>
  </si>
  <si>
    <t>TR40001</t>
  </si>
  <si>
    <t>Máy biến áp 22/0,4kV- 4000kVA</t>
  </si>
  <si>
    <t>FCO100-15</t>
  </si>
  <si>
    <t>02.3504</t>
  </si>
  <si>
    <t>FCO 24kV - 100A</t>
  </si>
  <si>
    <t>FCO200-15</t>
  </si>
  <si>
    <t xml:space="preserve">FCO 24KV - 200A </t>
  </si>
  <si>
    <t>FCO100-22</t>
  </si>
  <si>
    <t>02.3155</t>
  </si>
  <si>
    <t>FCO200-22</t>
  </si>
  <si>
    <t>lbfco100-15</t>
  </si>
  <si>
    <t>LBFCO-24KV-100A</t>
  </si>
  <si>
    <t>LBFCO200-15</t>
  </si>
  <si>
    <t>LBFCO-24KV-200A</t>
  </si>
  <si>
    <t>lbfco100-22</t>
  </si>
  <si>
    <t>LBFCO200-22</t>
  </si>
  <si>
    <t>02.3302</t>
  </si>
  <si>
    <t xml:space="preserve">DS 1P - 24KV - 600A </t>
  </si>
  <si>
    <t xml:space="preserve">DS 3P - 24KV - 630A </t>
  </si>
  <si>
    <t>DS1PDD</t>
  </si>
  <si>
    <t>02.3109</t>
  </si>
  <si>
    <t>DS3PDD</t>
  </si>
  <si>
    <t>02.3207</t>
  </si>
  <si>
    <t>02.2124</t>
  </si>
  <si>
    <t>LBS SF6 3pha 24kV 630A - 16kA</t>
  </si>
  <si>
    <t>LBS treo</t>
  </si>
  <si>
    <t>LBS SF6 3pha 24kV 630A 12kA + bộ truyền động</t>
  </si>
  <si>
    <t>REC</t>
  </si>
  <si>
    <t>02.2113</t>
  </si>
  <si>
    <t>Recloser 24kV 630A</t>
  </si>
  <si>
    <t>Recloser 24kV 630-800A</t>
  </si>
  <si>
    <t>02.3104</t>
  </si>
  <si>
    <t>LTD 1P 24KV - 800A</t>
  </si>
  <si>
    <t>LTD 1P 24KV - 600A</t>
  </si>
  <si>
    <t>02.5114</t>
  </si>
  <si>
    <t>LA 12kV 10kA</t>
  </si>
  <si>
    <t>LA 18kV 10kA</t>
  </si>
  <si>
    <t>TI10</t>
  </si>
  <si>
    <t>Biến dòng 24kV  10/5A</t>
  </si>
  <si>
    <t>TI15</t>
  </si>
  <si>
    <t>Biến dòng 24kV  15/5A</t>
  </si>
  <si>
    <t>TI20</t>
  </si>
  <si>
    <t>Biến dòng 24kV  20/5A</t>
  </si>
  <si>
    <t>TI25</t>
  </si>
  <si>
    <t>Biến dòng 24kV  25/5A</t>
  </si>
  <si>
    <t>TI30</t>
  </si>
  <si>
    <t>Biến dòng 24kV  30/5A</t>
  </si>
  <si>
    <t>TI40</t>
  </si>
  <si>
    <t>Biến dòng 24kV  40/5A</t>
  </si>
  <si>
    <t>TI50</t>
  </si>
  <si>
    <t>Biến dòng 24kV  50/5A</t>
  </si>
  <si>
    <t>TI60</t>
  </si>
  <si>
    <t>Biến dòng 24kV  60/5A</t>
  </si>
  <si>
    <t>TI75</t>
  </si>
  <si>
    <t>Biến dòng 24kV  75/5A</t>
  </si>
  <si>
    <t>TI100</t>
  </si>
  <si>
    <t>Biến dòng 24kV  100/5A</t>
  </si>
  <si>
    <t>TI150</t>
  </si>
  <si>
    <t>Biến dòng 24kV  150/5A</t>
  </si>
  <si>
    <t>TI755</t>
  </si>
  <si>
    <t xml:space="preserve">Biến dòng 600V - 75/5A </t>
  </si>
  <si>
    <t>Biến dòng 600V - 100/5A</t>
  </si>
  <si>
    <t>TI1255</t>
  </si>
  <si>
    <t xml:space="preserve">Biến dòng 600V - 125/5A </t>
  </si>
  <si>
    <t>TI1505</t>
  </si>
  <si>
    <t xml:space="preserve">Biến dòng 600V - 150/5A </t>
  </si>
  <si>
    <t>TI200</t>
  </si>
  <si>
    <t xml:space="preserve">Biến dòng 600V - 200/5A </t>
  </si>
  <si>
    <t>TI250</t>
  </si>
  <si>
    <t>Biến dòng 600V - 250/5A</t>
  </si>
  <si>
    <t>TI300</t>
  </si>
  <si>
    <t xml:space="preserve">Biến dòng 600V - 300/5A </t>
  </si>
  <si>
    <t>TI400</t>
  </si>
  <si>
    <t>Biến dòng 600V - 400/5A</t>
  </si>
  <si>
    <t>TI500</t>
  </si>
  <si>
    <t>Biến dòng 600V - 500/5A</t>
  </si>
  <si>
    <t>TI600</t>
  </si>
  <si>
    <t>Biến dòng 600V - 600/5A</t>
  </si>
  <si>
    <t>TI800</t>
  </si>
  <si>
    <t>Biến dòng 600V - 800/5A</t>
  </si>
  <si>
    <t>TU15</t>
  </si>
  <si>
    <t>Biến điện áp 8400/120(60)V</t>
  </si>
  <si>
    <t>TU22</t>
  </si>
  <si>
    <t>Biến điện áp 12000/120(60)V</t>
  </si>
  <si>
    <t>TIMER</t>
  </si>
  <si>
    <t>Relay Timer + cầu chì</t>
  </si>
  <si>
    <t>Contactor 3P-50A</t>
  </si>
  <si>
    <t>CONTACTOR 100</t>
  </si>
  <si>
    <t>Contactor 3P-100A</t>
  </si>
  <si>
    <t>CONTACTOR 125</t>
  </si>
  <si>
    <t>Contactor 3P-125A</t>
  </si>
  <si>
    <t>TUBU1000</t>
  </si>
  <si>
    <t>02.8534</t>
  </si>
  <si>
    <t>Tủ tụ bù hạ thế 1000kVAr</t>
  </si>
  <si>
    <t>tủ</t>
  </si>
  <si>
    <t>TUBU750</t>
  </si>
  <si>
    <t>Tủ tụ bù hạ thế 750kVAr</t>
  </si>
  <si>
    <t>TUBU600</t>
  </si>
  <si>
    <t>Tủ tụ bù hạ thế 600kVAr</t>
  </si>
  <si>
    <t>TUBU400</t>
  </si>
  <si>
    <t>Tủ tụ bù hạ thế 400kVAr</t>
  </si>
  <si>
    <t>TUBU380</t>
  </si>
  <si>
    <t>Tủ tụ bù hạ thế 380kVAr</t>
  </si>
  <si>
    <t>TUBU300</t>
  </si>
  <si>
    <t>Tủ tụ bù hạ thế 300kVAr</t>
  </si>
  <si>
    <t>TUBU250</t>
  </si>
  <si>
    <t>Tủ tụ bù hạ thế 250kVAr</t>
  </si>
  <si>
    <t>TUBU220</t>
  </si>
  <si>
    <t>Tủ tụ bù hạ thế 220kVAr</t>
  </si>
  <si>
    <t>TUBU160</t>
  </si>
  <si>
    <t>Tủ tụ bù hạ thế 160kVAr</t>
  </si>
  <si>
    <t>TUBU135</t>
  </si>
  <si>
    <t>Tủ tụ bù hạ thế 135kVAr</t>
  </si>
  <si>
    <t>TUBU130</t>
  </si>
  <si>
    <t>Tủ tụ bù hạ thế 130kVAr</t>
  </si>
  <si>
    <t>TUBU100</t>
  </si>
  <si>
    <t>02.8504a</t>
  </si>
  <si>
    <t>Tủ tụ bù hạ thế 100kVAr</t>
  </si>
  <si>
    <t>TUBU80</t>
  </si>
  <si>
    <t>Tủ tụ bù hạ thế 80kVAr</t>
  </si>
  <si>
    <t>TUBU60</t>
  </si>
  <si>
    <t>Tủ tụ bù hạ thế 60kVAr</t>
  </si>
  <si>
    <t>TUBU40</t>
  </si>
  <si>
    <t>Tủ tụ bù hạ thế 40kVAr</t>
  </si>
  <si>
    <t>TULBS</t>
  </si>
  <si>
    <t>05.2102</t>
  </si>
  <si>
    <t>Tủ LBS 3 pha 630-800A</t>
  </si>
  <si>
    <t>TU LBS</t>
  </si>
  <si>
    <t>Tủ + LBS 24kV 3 pha 630A -16kA + Fuse 80A</t>
  </si>
  <si>
    <t>TUTC LBS</t>
  </si>
  <si>
    <t>Tủ đấu nối thanh cái LBS (GAM2)</t>
  </si>
  <si>
    <t>TUDS</t>
  </si>
  <si>
    <t>Tủ DS 3 pha 630-800A</t>
  </si>
  <si>
    <t>TUACB</t>
  </si>
  <si>
    <t>05.1102</t>
  </si>
  <si>
    <t>Tủ ACB trạm 3 pha + khoá</t>
  </si>
  <si>
    <t>TUACB3200</t>
  </si>
  <si>
    <t>Tủ ACB 3200 + giá nới + khoá</t>
  </si>
  <si>
    <t>TUACB4000</t>
  </si>
  <si>
    <t>Tủ ACB 4000 + giá nới + khoá</t>
  </si>
  <si>
    <t>TUAP3-N</t>
  </si>
  <si>
    <t>05.1002</t>
  </si>
  <si>
    <t>Tủ CB trạm 3 pha + khoá + bulon</t>
  </si>
  <si>
    <t>TUAP1</t>
  </si>
  <si>
    <t>05.1001</t>
  </si>
  <si>
    <t>Tủ CB trạm 1 pha + khóa + boulon</t>
  </si>
  <si>
    <t>05.1101</t>
  </si>
  <si>
    <t>Tủ điện kế 1 pha</t>
  </si>
  <si>
    <t>Thùng điện kế 450x300x200mm đo đếm trung thế</t>
  </si>
  <si>
    <t>TUAP3</t>
  </si>
  <si>
    <t>Vỏ tủ + khóa tủ</t>
  </si>
  <si>
    <t>TUAP3L</t>
  </si>
  <si>
    <t>Vỏ tủ trạm giàn 2 ngăn + khóa tủ</t>
  </si>
  <si>
    <t>KHUNG TU</t>
  </si>
  <si>
    <t>Khung đỡ tủ MCCB và tủ bù</t>
  </si>
  <si>
    <t>Tủ phân phối hạ thế</t>
  </si>
  <si>
    <t>ATM30A</t>
  </si>
  <si>
    <t>Aptomat 2 cực 220V - 30A - 2,5kA</t>
  </si>
  <si>
    <t>ATM40A</t>
  </si>
  <si>
    <t>Aptomat 2 cực 220V - 40A - 7,5kA</t>
  </si>
  <si>
    <t>ATM100A</t>
  </si>
  <si>
    <t>Aptomat 2 cực 220V -100A</t>
  </si>
  <si>
    <t>ATM50</t>
  </si>
  <si>
    <t>02.8401</t>
  </si>
  <si>
    <t>MCCB 3 cực 400V-50A - 25KA</t>
  </si>
  <si>
    <t>ATM80</t>
  </si>
  <si>
    <t>MCCB 3 cực 400V-80A - 10KA</t>
  </si>
  <si>
    <t>ATM75</t>
  </si>
  <si>
    <t>MCCB 3 cực 400V-75A - 10KA</t>
  </si>
  <si>
    <t>MCCB 3 cực 400V-100A - 30KA</t>
  </si>
  <si>
    <t>MCCB 3 cực 125A</t>
  </si>
  <si>
    <t>ATM125</t>
  </si>
  <si>
    <t>MCCB 3 cực 400V -125A - 30KA</t>
  </si>
  <si>
    <t>ATM150</t>
  </si>
  <si>
    <t>MCCB 3 cực 400V -150A - 35KA</t>
  </si>
  <si>
    <t>ATM200</t>
  </si>
  <si>
    <t>MCCB 3 cực 400V -200A - 35KA</t>
  </si>
  <si>
    <t>ATM250</t>
  </si>
  <si>
    <t xml:space="preserve">MCCB 3 cực 600V -250A - 36KA </t>
  </si>
  <si>
    <t>ATM400</t>
  </si>
  <si>
    <t>02.8402</t>
  </si>
  <si>
    <t>MCCB 3 cực 690V - 400A - 50KA</t>
  </si>
  <si>
    <t>ATM500</t>
  </si>
  <si>
    <t>02.8403</t>
  </si>
  <si>
    <t>MCCB 3 cực 400V -500A - 35KA</t>
  </si>
  <si>
    <t>ATM600</t>
  </si>
  <si>
    <t>MCCB 3 cực 400V -600A - 35KA</t>
  </si>
  <si>
    <t>ATM630</t>
  </si>
  <si>
    <t>MCCB 3 cực 400V -630A - 35KA</t>
  </si>
  <si>
    <t>ATM800</t>
  </si>
  <si>
    <t>MCCB 3 cực 400V -800A - 50KA</t>
  </si>
  <si>
    <t>ATM1000</t>
  </si>
  <si>
    <t>02.8404</t>
  </si>
  <si>
    <t>MCCB 3 cực 400V -1000A - 50KA</t>
  </si>
  <si>
    <t>ATM1250</t>
  </si>
  <si>
    <t>MCCB 3 cực 400V -1250A - 85KA</t>
  </si>
  <si>
    <t>ATM1600</t>
  </si>
  <si>
    <t>MCCB 3 cực 400V -1600A - 85KA</t>
  </si>
  <si>
    <t>ACB1600</t>
  </si>
  <si>
    <t>ACB 3P - 1600A - 65KA (nạp lò xo bằng tay)</t>
  </si>
  <si>
    <t>ACB2000</t>
  </si>
  <si>
    <t>ACB 3P - 2000A - 85KA (nạp lò xo bằng tay)</t>
  </si>
  <si>
    <t>ACB2500</t>
  </si>
  <si>
    <t>ACB 3P - 2500A - 85KA (nạp lò xo bằng tay)</t>
  </si>
  <si>
    <t>ACB3200</t>
  </si>
  <si>
    <t>ACB 3P - 3200A - 85KA (nạp lò xo bằng tay)</t>
  </si>
  <si>
    <t>ACB4000</t>
  </si>
  <si>
    <t>ACB 3P - 4000A - 85KA (nạp lò xo bằng tay)</t>
  </si>
  <si>
    <t>ACB4000-130</t>
  </si>
  <si>
    <t>ACB 3P - 4000A - 130KA (nạp lò xo bằng tay)</t>
  </si>
  <si>
    <t>ACB6300</t>
  </si>
  <si>
    <t>ACB 3P - 6300A - 130KA (nạp lò xo bằng tay)</t>
  </si>
  <si>
    <t>AP250</t>
  </si>
  <si>
    <t>Áp tô mát CBXE 200NC -250A-600V (TERASAKY-Nhật)</t>
  </si>
  <si>
    <t>AP150</t>
  </si>
  <si>
    <t>Áp tô mát CBXE 200NC -150A-600V (TERASAKY-Nhật)</t>
  </si>
  <si>
    <t>CHI3K</t>
  </si>
  <si>
    <t>Dây chảy 3K</t>
  </si>
  <si>
    <t>Sợi</t>
  </si>
  <si>
    <t>CHI6K</t>
  </si>
  <si>
    <t>Dây chảy 6K</t>
  </si>
  <si>
    <t>CHI8K</t>
  </si>
  <si>
    <t>Dây chảy 8K</t>
  </si>
  <si>
    <t>CHI10K</t>
  </si>
  <si>
    <t>Dây chảy 10K</t>
  </si>
  <si>
    <t>CHI12K</t>
  </si>
  <si>
    <t>Dây chảy 12K</t>
  </si>
  <si>
    <t>CHI15K</t>
  </si>
  <si>
    <t>Dây chảy 15K</t>
  </si>
  <si>
    <t>CHI20K</t>
  </si>
  <si>
    <t>Dây chảy 20K</t>
  </si>
  <si>
    <t>CHI25K</t>
  </si>
  <si>
    <t>Dây chảy 25K</t>
  </si>
  <si>
    <t>CHI30K</t>
  </si>
  <si>
    <t>Dây chảy 30K</t>
  </si>
  <si>
    <t>CHI40K</t>
  </si>
  <si>
    <t>Dây chảy 40K</t>
  </si>
  <si>
    <t>CHI50K</t>
  </si>
  <si>
    <t>Dây chảy 50K</t>
  </si>
  <si>
    <t>CHI65K</t>
  </si>
  <si>
    <t>Dây chảy 65K</t>
  </si>
  <si>
    <t>CHI80K</t>
  </si>
  <si>
    <t>Dây chảy 80K</t>
  </si>
  <si>
    <t>CHI100K</t>
  </si>
  <si>
    <t>Dây chảy 100K</t>
  </si>
  <si>
    <t>CHI140K</t>
  </si>
  <si>
    <t>Dây chảy 140K</t>
  </si>
  <si>
    <t>DK1p100A</t>
  </si>
  <si>
    <t>Điện kế 1 pha 2 dây 220V-100A</t>
  </si>
  <si>
    <t>DK1p80A</t>
  </si>
  <si>
    <t>Điện kế 1 pha 2 dây 220V-80A</t>
  </si>
  <si>
    <t>DK1p5A</t>
  </si>
  <si>
    <t>Điện kế 1 pha 2 dây 220V-5A</t>
  </si>
  <si>
    <t>DK3p50(100)A</t>
  </si>
  <si>
    <t>Điện kế 3 pha 4 dây 220/380V-50(100)A</t>
  </si>
  <si>
    <t>DK3p5A</t>
  </si>
  <si>
    <t>05.5104</t>
  </si>
  <si>
    <t>Điện kế 3 pha 4 dây 220/380V-5A</t>
  </si>
  <si>
    <t>DK380-5A</t>
  </si>
  <si>
    <t>Điện kế 3 pha điện tử 220/380V-5A</t>
  </si>
  <si>
    <t>DK3DT</t>
  </si>
  <si>
    <t>Điện kế 3 pha điện tử 600V-5A</t>
  </si>
  <si>
    <t>Điện năng kế 3 pha 380V-5A</t>
  </si>
  <si>
    <t>BANG</t>
  </si>
  <si>
    <t>06.3191</t>
  </si>
  <si>
    <t>Bảng tên trạm, bảng báo nguy hiểm + đinh vít</t>
  </si>
  <si>
    <t>GTD</t>
  </si>
  <si>
    <t>Giếng tiếp địa khoan đất</t>
  </si>
  <si>
    <t>GTDĐ</t>
  </si>
  <si>
    <t>Giếng tiếp địa khoan đá</t>
  </si>
  <si>
    <t>SXTg</t>
  </si>
  <si>
    <t>04.2301</t>
  </si>
  <si>
    <t>Sứ xuyên tường 24kV</t>
  </si>
  <si>
    <t>GSXTg</t>
  </si>
  <si>
    <t>Giá lắp sứ xuyên tường</t>
  </si>
  <si>
    <t>GCAP</t>
  </si>
  <si>
    <t>Giá đỡ cáp ngầm (V63x6)</t>
  </si>
  <si>
    <t>SDTC</t>
  </si>
  <si>
    <t>04.2201</t>
  </si>
  <si>
    <t>Sứ đỡ thanh cái 24kV</t>
  </si>
  <si>
    <t>TC450</t>
  </si>
  <si>
    <t>04.5102</t>
  </si>
  <si>
    <t>Thanh cái đồng 4x50</t>
  </si>
  <si>
    <t>TC430</t>
  </si>
  <si>
    <t>Thanh cái đồng 4x30</t>
  </si>
  <si>
    <t>TC420</t>
  </si>
  <si>
    <t>Thanh cái đồng 4x20</t>
  </si>
  <si>
    <t>GiacapTT-2m</t>
  </si>
  <si>
    <t>Giá đỡ cáp trung thế</t>
  </si>
  <si>
    <t>GiacapTT-6m</t>
  </si>
  <si>
    <t>GiacapTT-8m</t>
  </si>
  <si>
    <t>GiacapTT-15m</t>
  </si>
  <si>
    <t>GiacapTHT-10m</t>
  </si>
  <si>
    <t>Giá đỡ cáp trung hạ thế</t>
  </si>
  <si>
    <t>GiacapHT-1m</t>
  </si>
  <si>
    <t xml:space="preserve">Giá đỡ cáp hạ thế </t>
  </si>
  <si>
    <t>GiacapHT-2m</t>
  </si>
  <si>
    <t>GiacapHT-3m</t>
  </si>
  <si>
    <t>GiacapHT-4m</t>
  </si>
  <si>
    <t>GiacapHT</t>
  </si>
  <si>
    <t>GiacapHT-30m</t>
  </si>
  <si>
    <t>GTMBA15</t>
  </si>
  <si>
    <t>Giá chùm treo máy biến áp 3x15</t>
  </si>
  <si>
    <t>bô</t>
  </si>
  <si>
    <t>GTMBA25</t>
  </si>
  <si>
    <t>Giá chùm treo máy biến áp 3x25</t>
  </si>
  <si>
    <t>GTMBA37,5</t>
  </si>
  <si>
    <t>Giá chùm treo máy biến áp 3x37,5</t>
  </si>
  <si>
    <t>GTMBA</t>
  </si>
  <si>
    <t>Giá chùm treo máy biến áp 3x50</t>
  </si>
  <si>
    <t>COSe16</t>
  </si>
  <si>
    <t>03.4001</t>
  </si>
  <si>
    <t>Đầu cosse ép Cu-Al 16mm2</t>
  </si>
  <si>
    <t>COSe25</t>
  </si>
  <si>
    <t>Đầu cosse ép Cu-Al 25mm2</t>
  </si>
  <si>
    <t>COSe50</t>
  </si>
  <si>
    <t>03.4002</t>
  </si>
  <si>
    <t>Đầu cosse ép Cu-Al 50mm2</t>
  </si>
  <si>
    <t>COSe70</t>
  </si>
  <si>
    <t>03.4003</t>
  </si>
  <si>
    <t>Đầu cosse ép Cu-Al 70mm2</t>
  </si>
  <si>
    <t>COSe95</t>
  </si>
  <si>
    <t>03.4004</t>
  </si>
  <si>
    <t>Đầu cosse ép Cu-Al 95mm2</t>
  </si>
  <si>
    <t>COSe120</t>
  </si>
  <si>
    <t>03.4005</t>
  </si>
  <si>
    <t>Đầu cosse ép Cu-Al 120mm2</t>
  </si>
  <si>
    <t>COSe150</t>
  </si>
  <si>
    <t>03.4006</t>
  </si>
  <si>
    <t>Đầu cosse ép Cu-Al 150mm2</t>
  </si>
  <si>
    <t>COSe185</t>
  </si>
  <si>
    <t>03.4007</t>
  </si>
  <si>
    <t>Đầu cosse ép Cu-Al 185mm2</t>
  </si>
  <si>
    <t>COSe200</t>
  </si>
  <si>
    <t>03.4008</t>
  </si>
  <si>
    <t>Đầu cosse ép Cu-Al 200mm2</t>
  </si>
  <si>
    <t>COSe240</t>
  </si>
  <si>
    <t>Đầu cosse ép Cu-Al 240mm2</t>
  </si>
  <si>
    <t>COSe250</t>
  </si>
  <si>
    <t>Đầu cosse ép Cu-Al 250mm2</t>
  </si>
  <si>
    <t>COSe300</t>
  </si>
  <si>
    <t>Đầu cosse ép Cu-Al 300mm2</t>
  </si>
  <si>
    <t>COSe400</t>
  </si>
  <si>
    <t>Đầu cosse ép Cu-Al 400mm2</t>
  </si>
  <si>
    <t xml:space="preserve">Đầu cosse ép Cu 2,5mm2 + bao PVC </t>
  </si>
  <si>
    <t>COS5</t>
  </si>
  <si>
    <t>Đầu cosse ép Cu 5mm2</t>
  </si>
  <si>
    <t>COS11</t>
  </si>
  <si>
    <t>Đầu cosse ép Cu 11mm2</t>
  </si>
  <si>
    <t>COS16</t>
  </si>
  <si>
    <t>Đầu cosse ép Cu 16mm2</t>
  </si>
  <si>
    <t>COS22</t>
  </si>
  <si>
    <t>Đầu cosse ép Cu 22mm2</t>
  </si>
  <si>
    <t>Đầu cosse ép Cu 25mm2</t>
  </si>
  <si>
    <t>COS35</t>
  </si>
  <si>
    <t>Đầu cosse ép Cu 35mm2</t>
  </si>
  <si>
    <t>COS38</t>
  </si>
  <si>
    <t>Đầu cosse ép Cu 38mm2</t>
  </si>
  <si>
    <t>COS50</t>
  </si>
  <si>
    <t>Đầu cosse ép Cu 50mm2</t>
  </si>
  <si>
    <t>Đầu cosse ép Cu 70mm2</t>
  </si>
  <si>
    <t>COS95</t>
  </si>
  <si>
    <t>Đầu cosse ép Cu 95mm2</t>
  </si>
  <si>
    <t>COS120</t>
  </si>
  <si>
    <t>Đầu cosse ép Cu 120mm2</t>
  </si>
  <si>
    <t>COS150</t>
  </si>
  <si>
    <t>Đầu cosse ép Cu 150mm2</t>
  </si>
  <si>
    <t>COS185</t>
  </si>
  <si>
    <t>Đầu cosse ép Cu 185mm2</t>
  </si>
  <si>
    <t>COS200</t>
  </si>
  <si>
    <t>Đầu cosse ép Cu 200mm2</t>
  </si>
  <si>
    <t>COS240</t>
  </si>
  <si>
    <t>Đầu cosse ép Cu 240mm2</t>
  </si>
  <si>
    <t>COS250</t>
  </si>
  <si>
    <t>03.4009</t>
  </si>
  <si>
    <t>Đầu cosse ép Cu 250mm2</t>
  </si>
  <si>
    <t>COS300</t>
  </si>
  <si>
    <t>Đầu cosse ép Cu 300mm2</t>
  </si>
  <si>
    <t>CHCOS11</t>
  </si>
  <si>
    <t>Chụp đầu cosse  11mm2</t>
  </si>
  <si>
    <t>CHCOS16</t>
  </si>
  <si>
    <t>Chụp đầu cosse  16mm2</t>
  </si>
  <si>
    <t>CHCOS25</t>
  </si>
  <si>
    <t>Chụp đầu cosse  25mm2</t>
  </si>
  <si>
    <t>CHCOS35</t>
  </si>
  <si>
    <t>Chụp đầu cosse  35mm2</t>
  </si>
  <si>
    <t>CHCOS50</t>
  </si>
  <si>
    <t>Chụp đầu cosse  50mm2</t>
  </si>
  <si>
    <t>CHCOS70</t>
  </si>
  <si>
    <t>Chụp đầu cosse  70mm2</t>
  </si>
  <si>
    <t>CHCOS95</t>
  </si>
  <si>
    <t>Chụp đầu cosse  95mm2</t>
  </si>
  <si>
    <t>CHCOS120</t>
  </si>
  <si>
    <t>Chụp đầu cosse  120mm2</t>
  </si>
  <si>
    <t>CHCOS150</t>
  </si>
  <si>
    <t>Chụp đầu cosse  150mm2</t>
  </si>
  <si>
    <t>CHCOS185</t>
  </si>
  <si>
    <t>Chụp đầu cosse  185mm2</t>
  </si>
  <si>
    <t>CHCOS200</t>
  </si>
  <si>
    <t>Chụp đầu cosse  200mm2</t>
  </si>
  <si>
    <t>CHCOS240</t>
  </si>
  <si>
    <t>Chụp đầu cosse  240mm2</t>
  </si>
  <si>
    <t>CHCOS250</t>
  </si>
  <si>
    <t>Chụp đầu cosse  250mm2</t>
  </si>
  <si>
    <t>CHCOS300</t>
  </si>
  <si>
    <t>Chụp đầu cosse  300mm2</t>
  </si>
  <si>
    <t>CHFCO</t>
  </si>
  <si>
    <t>Chụp đầu cực FCO (bộ 2 cái)</t>
  </si>
  <si>
    <t>CHLA</t>
  </si>
  <si>
    <t>Chụp đầu cực LA</t>
  </si>
  <si>
    <t>CHMBA</t>
  </si>
  <si>
    <t>Chụp đầu MBA</t>
  </si>
  <si>
    <t>Nắp chụp kẹp quai + hotline</t>
  </si>
  <si>
    <t>DK2x11</t>
  </si>
  <si>
    <t>Cáp điện kế DK - 2x11</t>
  </si>
  <si>
    <t>DVV7x1.5</t>
  </si>
  <si>
    <t>Cáp điều khiển 7x1,5</t>
  </si>
  <si>
    <t>Cáp Duplex 2x11</t>
  </si>
  <si>
    <t>Duplex 216</t>
  </si>
  <si>
    <t>Cáp Duplex 2x16</t>
  </si>
  <si>
    <t>Duplex 311</t>
  </si>
  <si>
    <t>Cáp Triplex 3x11</t>
  </si>
  <si>
    <t>Cáp Triplex 3x16</t>
  </si>
  <si>
    <t>Cáp Quadruplex 4x11</t>
  </si>
  <si>
    <t>Cáp Quadruplex 4x16</t>
  </si>
  <si>
    <t>DENHQ</t>
  </si>
  <si>
    <t>E2.003</t>
  </si>
  <si>
    <t>Bộ đèn huỳnh quang đơn 1,2m-40W</t>
  </si>
  <si>
    <t>Dây điện đôi 16/10</t>
  </si>
  <si>
    <t>D20/10</t>
  </si>
  <si>
    <t>Dây điện đôi 20/10</t>
  </si>
  <si>
    <t>D30/10</t>
  </si>
  <si>
    <t>Dây điện đôi 30/10</t>
  </si>
  <si>
    <t>DRC</t>
  </si>
  <si>
    <t>Dây rút cáp</t>
  </si>
  <si>
    <t>bọc</t>
  </si>
  <si>
    <t>CDAO15</t>
  </si>
  <si>
    <t>Cầu dao 15A - 600V</t>
  </si>
  <si>
    <t>CDAO30</t>
  </si>
  <si>
    <t>Cầu dao 30A - 600V</t>
  </si>
  <si>
    <t>CDAO60</t>
  </si>
  <si>
    <t>Cầu dao 60A - 600V</t>
  </si>
  <si>
    <t>CDAO100</t>
  </si>
  <si>
    <t>Cầu dao 100A - 600V</t>
  </si>
  <si>
    <t>CDAO150</t>
  </si>
  <si>
    <t>Cầu dao 150A - 600V</t>
  </si>
  <si>
    <t>CDAO200</t>
  </si>
  <si>
    <t>Cầu dao 200A - 600V</t>
  </si>
  <si>
    <t>CDAO250</t>
  </si>
  <si>
    <t>Cầu dao 250A - 600V</t>
  </si>
  <si>
    <t>CDAO300</t>
  </si>
  <si>
    <t>Cầu dao 300A - 600V</t>
  </si>
  <si>
    <t>PVC200</t>
  </si>
  <si>
    <t>Ống PVC D200 dày 9,6mm</t>
  </si>
  <si>
    <t>PVC168</t>
  </si>
  <si>
    <t>Ống PVC D168 dày 7,0mm</t>
  </si>
  <si>
    <t>PVC140</t>
  </si>
  <si>
    <t>Ống PVC D140x6,7mm</t>
  </si>
  <si>
    <t>PVC114</t>
  </si>
  <si>
    <t xml:space="preserve">Ống PVC D114x4,9mm </t>
  </si>
  <si>
    <t>PVC90</t>
  </si>
  <si>
    <t>04.8003</t>
  </si>
  <si>
    <t xml:space="preserve">Ống PVC D90x3,8mm </t>
  </si>
  <si>
    <t>07.2404</t>
  </si>
  <si>
    <t>Ống PVC D60x2,8mm</t>
  </si>
  <si>
    <t>PVC49</t>
  </si>
  <si>
    <t>07.2403</t>
  </si>
  <si>
    <t>Ống PVC D49x2,4mm</t>
  </si>
  <si>
    <t>Ống PVC D42x2,1mm</t>
  </si>
  <si>
    <t xml:space="preserve">Ống PVC D21x1,6mm </t>
  </si>
  <si>
    <t>ODH42</t>
  </si>
  <si>
    <t>Ống nhựa đàn hồi</t>
  </si>
  <si>
    <t>ONGDH168</t>
  </si>
  <si>
    <t>Ống đàn hồi 168</t>
  </si>
  <si>
    <t>ONGDH42</t>
  </si>
  <si>
    <t>Ống đàn hồi 42</t>
  </si>
  <si>
    <t>ONGDH114</t>
  </si>
  <si>
    <t>Ống đàn hồi 114</t>
  </si>
  <si>
    <t>CUT21</t>
  </si>
  <si>
    <t>Cut PVC 21</t>
  </si>
  <si>
    <t>CUT4245</t>
  </si>
  <si>
    <t>Co 45 độ PVC 42</t>
  </si>
  <si>
    <t>Co 90 độ PVC 42</t>
  </si>
  <si>
    <t>Co chữ T ống PVC 42</t>
  </si>
  <si>
    <t>Co 90 độ PVC 60</t>
  </si>
  <si>
    <t>CUT60135</t>
  </si>
  <si>
    <t>Co 135 độ PVC 60</t>
  </si>
  <si>
    <t>CUT90</t>
  </si>
  <si>
    <t>Co sừng 90 độ PVC 90</t>
  </si>
  <si>
    <t>CUT90135</t>
  </si>
  <si>
    <t>Co 135 độ PVC 90</t>
  </si>
  <si>
    <t>CUT90T</t>
  </si>
  <si>
    <t>Co  90 độ PVC 90</t>
  </si>
  <si>
    <t>CUT114T</t>
  </si>
  <si>
    <t>Co  90 độ PVC 114</t>
  </si>
  <si>
    <t>CUT114</t>
  </si>
  <si>
    <t>Co sừng 90 độ PVC 114</t>
  </si>
  <si>
    <t>CUT140t</t>
  </si>
  <si>
    <t>Co 90 độ PVC 140</t>
  </si>
  <si>
    <t>CUT140</t>
  </si>
  <si>
    <t>Co sừng 90 độ PVC 140</t>
  </si>
  <si>
    <t>CUT168</t>
  </si>
  <si>
    <t>Co sừng 90 độ PVC 168</t>
  </si>
  <si>
    <t>NPVC114</t>
  </si>
  <si>
    <t>Nối ống PVC 114</t>
  </si>
  <si>
    <t>NPVC140</t>
  </si>
  <si>
    <t>Nối ống PVC 140</t>
  </si>
  <si>
    <t>NPVC114-90</t>
  </si>
  <si>
    <t>Nối ống PVC 114 - 90</t>
  </si>
  <si>
    <t>NPVC90</t>
  </si>
  <si>
    <t xml:space="preserve">Nối thẳng ống PVC 90 </t>
  </si>
  <si>
    <t>Nối thẳng ống PVC 42</t>
  </si>
  <si>
    <t>NPVC21</t>
  </si>
  <si>
    <t>Nối thẳng ống PVC 21</t>
  </si>
  <si>
    <t>NT42</t>
  </si>
  <si>
    <t>Nối ống PVC 42 chữ T</t>
  </si>
  <si>
    <t>Tấm bakelit hay nhựa cách điện 600V (200x60x6)</t>
  </si>
  <si>
    <t>BAKE</t>
  </si>
  <si>
    <t xml:space="preserve">Bakelit 550x450 dầy 10mm </t>
  </si>
  <si>
    <t>BAKEDKDT</t>
  </si>
  <si>
    <t>Bakelit 350x510 dầy 5mm</t>
  </si>
  <si>
    <t>BAKETu</t>
  </si>
  <si>
    <t xml:space="preserve">Bakelit 300x200 dầy 5mm </t>
  </si>
  <si>
    <t>BANGG</t>
  </si>
  <si>
    <t>Bảng gắn aptomat và điện kế dày 15mm</t>
  </si>
  <si>
    <t>BANGNHUA</t>
  </si>
  <si>
    <t>Bảng nhựa gắn tủ điện kế điện tử</t>
  </si>
  <si>
    <t>Băng keo cách điện</t>
  </si>
  <si>
    <t>cuộn</t>
  </si>
  <si>
    <t>BAKE16-200X200</t>
  </si>
  <si>
    <t>Bake D16 - 200x200</t>
  </si>
  <si>
    <t>KEOBIT</t>
  </si>
  <si>
    <t>Keo silicon bít miệng ống</t>
  </si>
  <si>
    <t>ống</t>
  </si>
  <si>
    <t>Kẽm</t>
  </si>
  <si>
    <t>Keo dán ống PVC (100gr)</t>
  </si>
  <si>
    <t>tuýp</t>
  </si>
  <si>
    <t>Keo dán ống PVC (500gr)</t>
  </si>
  <si>
    <t>lon</t>
  </si>
  <si>
    <t>Khâu ven răng trong D42</t>
  </si>
  <si>
    <t>KVRT90</t>
  </si>
  <si>
    <t>Khâu ven răng trong D90</t>
  </si>
  <si>
    <t>KVRT114</t>
  </si>
  <si>
    <t>Khâu ven răng trong D114</t>
  </si>
  <si>
    <t>KVRT140</t>
  </si>
  <si>
    <t>Khâu ven răng trong D140</t>
  </si>
  <si>
    <t>Khâu ven răng ngoài D42</t>
  </si>
  <si>
    <t>KVRN90</t>
  </si>
  <si>
    <t>Khâu ven răng ngoài D90</t>
  </si>
  <si>
    <t>KVRN114</t>
  </si>
  <si>
    <t>Khâu ven răng ngoài D114</t>
  </si>
  <si>
    <t>KVRN140</t>
  </si>
  <si>
    <t>Khâu ven răng ngoài D140</t>
  </si>
  <si>
    <t>OXC</t>
  </si>
  <si>
    <t>Ốc xiết cáp</t>
  </si>
  <si>
    <t>OXC1/0</t>
  </si>
  <si>
    <t>Ốc xiết cáp Cu - Al 1/0</t>
  </si>
  <si>
    <t>OXC2/0</t>
  </si>
  <si>
    <t>Ốc xiết cáp Cu - Al 2/0</t>
  </si>
  <si>
    <t>OXCth</t>
  </si>
  <si>
    <t xml:space="preserve">Ốc xiết cáp Cu-AL cở thích hợp </t>
  </si>
  <si>
    <t>OXC11</t>
  </si>
  <si>
    <t xml:space="preserve">Ốc xiết cáp cỡ 11mm2 </t>
  </si>
  <si>
    <t>OXC22</t>
  </si>
  <si>
    <t xml:space="preserve">Ốc xiết cáp cỡ 22mm2 </t>
  </si>
  <si>
    <t>OXC25</t>
  </si>
  <si>
    <t>Ốc xiết cáp cỡ 25mm2</t>
  </si>
  <si>
    <t>OXC38</t>
  </si>
  <si>
    <t xml:space="preserve">Ốc xiết cáp cỡ 38mm2 </t>
  </si>
  <si>
    <t>OXC50</t>
  </si>
  <si>
    <t xml:space="preserve">Ốc xiết cáp cỡ 50mm2 </t>
  </si>
  <si>
    <t>OXC70</t>
  </si>
  <si>
    <t xml:space="preserve">Ốc xiết cáp cỡ 70mm2 </t>
  </si>
  <si>
    <t>OXC95</t>
  </si>
  <si>
    <t xml:space="preserve">Ốc xiết cáp cỡ 95mm2 </t>
  </si>
  <si>
    <t>OXC120</t>
  </si>
  <si>
    <t xml:space="preserve">Ốc xiết cáp cỡ 120mm2 </t>
  </si>
  <si>
    <t>OXC150</t>
  </si>
  <si>
    <t>Ốc xiết cáp cỡ 150mm2</t>
  </si>
  <si>
    <t>OXC185</t>
  </si>
  <si>
    <t>Ốc xiết cáp cỡ 185mm2</t>
  </si>
  <si>
    <t>OXC240</t>
  </si>
  <si>
    <t>Ốc xiết cáp cỡ 240mm2</t>
  </si>
  <si>
    <t>KHOA</t>
  </si>
  <si>
    <t>Ổ khóa</t>
  </si>
  <si>
    <t>Ô xy gió</t>
  </si>
  <si>
    <t>NB.1110</t>
  </si>
  <si>
    <t>Gia công và lắp dựng cột báo hiệu cao 9m</t>
  </si>
  <si>
    <t>Tấn</t>
  </si>
  <si>
    <t>NB.1710</t>
  </si>
  <si>
    <t>Gia công và lắp dựng bảng báo hiệu</t>
  </si>
  <si>
    <t>LTC</t>
  </si>
  <si>
    <t>Gia công và lắp thanh cái và phụ kiện trong tủ</t>
  </si>
  <si>
    <t>S2.118</t>
  </si>
  <si>
    <t>Sơn cột báo hiệu</t>
  </si>
  <si>
    <t>Sơn biển báo hiệu</t>
  </si>
  <si>
    <t>021351</t>
  </si>
  <si>
    <t>Vận Chuyển thép</t>
  </si>
  <si>
    <t>U16-280</t>
  </si>
  <si>
    <t>05.6105</t>
  </si>
  <si>
    <t>Đà U160x68x5x2800 đỡ MBA</t>
  </si>
  <si>
    <t>U20-280</t>
  </si>
  <si>
    <t>Đà U200x80x5x2800 đỡ MBA</t>
  </si>
  <si>
    <t>U1008</t>
  </si>
  <si>
    <t xml:space="preserve">Đà U100x46x5x800 </t>
  </si>
  <si>
    <t>U8034</t>
  </si>
  <si>
    <t>04.8105</t>
  </si>
  <si>
    <t>Đà sắt U80x340</t>
  </si>
  <si>
    <t>U1004</t>
  </si>
  <si>
    <t xml:space="preserve">Đà U100x46x4.5x400 </t>
  </si>
  <si>
    <t>XATUTI</t>
  </si>
  <si>
    <t>Xà kẹp TU, TI U50x32x4 350</t>
  </si>
  <si>
    <t>AK1</t>
  </si>
  <si>
    <t xml:space="preserve">Ampe kế 100/5A-600v +AS </t>
  </si>
  <si>
    <t>VK1</t>
  </si>
  <si>
    <t>Volt kế 500V + VS + 2xChì ống 1A-230V</t>
  </si>
  <si>
    <t>AVK1</t>
  </si>
  <si>
    <t>Bộ Ampe kế + Volt kế (trạm 1 pha)</t>
  </si>
  <si>
    <t>AVK3</t>
  </si>
  <si>
    <t>Bộ Ampe kế + Volt kế (trạm 3 pha)</t>
  </si>
  <si>
    <t>Hơi Axetylen</t>
  </si>
  <si>
    <t>GIP11-11</t>
  </si>
  <si>
    <t>Ghíp nối IPC 11-11</t>
  </si>
  <si>
    <t>GIP22-11</t>
  </si>
  <si>
    <t>Ghíp nối IPC 22-11</t>
  </si>
  <si>
    <t>GIP22-22</t>
  </si>
  <si>
    <t>Ghíp nối IPC 22-22</t>
  </si>
  <si>
    <t>Ghíp nối IPC 35-35</t>
  </si>
  <si>
    <t>Ghíp nối IPC 50-25 1 bulong</t>
  </si>
  <si>
    <t>Ghíp nối IPC 50-35</t>
  </si>
  <si>
    <t>Ghíp nối IPC 95-25</t>
  </si>
  <si>
    <t>Ghíp nối IPC 95-35</t>
  </si>
  <si>
    <t>GIP120-35</t>
  </si>
  <si>
    <t>Ghíp nối IPC 120-35</t>
  </si>
  <si>
    <t>Ghíp nối IPC 50-50 1 bulong</t>
  </si>
  <si>
    <t>GIP70-50</t>
  </si>
  <si>
    <t>Ghíp nối IPC 70-50 1 bulong</t>
  </si>
  <si>
    <t>Ghíp nối IPC 95-50 1 bulong</t>
  </si>
  <si>
    <t>GIP120-50</t>
  </si>
  <si>
    <t>Ghíp nối IPC 120-50</t>
  </si>
  <si>
    <t>Ghíp nối IPC 150-50</t>
  </si>
  <si>
    <t>Ghíp nối IPC 70-70</t>
  </si>
  <si>
    <t>Ghíp nối IPC 95-70</t>
  </si>
  <si>
    <t>GIP120-70</t>
  </si>
  <si>
    <t>Ghíp nối IPC 120-70</t>
  </si>
  <si>
    <t>Ghíp nối IPC 150-70</t>
  </si>
  <si>
    <t>Ghíp nối IPC 95-95</t>
  </si>
  <si>
    <t>GIP95-120</t>
  </si>
  <si>
    <t>Ghíp nối IPC 95-120</t>
  </si>
  <si>
    <t>Ghíp nối IPC 95-150</t>
  </si>
  <si>
    <t>KQDUPLEX35</t>
  </si>
  <si>
    <t>06.7003</t>
  </si>
  <si>
    <t>Kéo dây quadruplex CV-4x35-0.6/1kV</t>
  </si>
  <si>
    <t>KQDUPLEX22</t>
  </si>
  <si>
    <t>06.7002</t>
  </si>
  <si>
    <t>Kéo dây quadruplex CV-4x22-0.6/1kV</t>
  </si>
  <si>
    <t>KQDUPLEX16</t>
  </si>
  <si>
    <t>06.7001</t>
  </si>
  <si>
    <t>Kéo dây quadruplex CV-4x16-0.6/1kV</t>
  </si>
  <si>
    <t>KQDUPLEX14</t>
  </si>
  <si>
    <t>Kéo dây quadruplex CV-4x14-0.6/1kV</t>
  </si>
  <si>
    <t>KQDUPLEX11</t>
  </si>
  <si>
    <t>Kéo dây quadruplex CV-4x11-0.6/1kV</t>
  </si>
  <si>
    <t>KTriplex16</t>
  </si>
  <si>
    <t>Kéo dây triplex CV-3x16-0.6/1kV</t>
  </si>
  <si>
    <t>KDUPLEX11</t>
  </si>
  <si>
    <t>Kéo dây duplex CV-2x11-0.6/1kV</t>
  </si>
  <si>
    <t>Diabaohieu</t>
  </si>
  <si>
    <t>Đĩa sứ trắng báo hiệu cáp ngầm</t>
  </si>
  <si>
    <t>Denbao</t>
  </si>
  <si>
    <t>Đèn báo hiệu pha 5W-220V</t>
  </si>
  <si>
    <t>Đơn giá chiếu sáng</t>
  </si>
  <si>
    <t>TUDKCS</t>
  </si>
  <si>
    <t>CS4.09.021</t>
  </si>
  <si>
    <t>Tủ điều khiển chiếu sáng</t>
  </si>
  <si>
    <t>Trụ thép tròn cao 6 mét</t>
  </si>
  <si>
    <t>TRTHEP7</t>
  </si>
  <si>
    <t>Trụ thép tròn cao 7 mét</t>
  </si>
  <si>
    <t>D12 CS</t>
  </si>
  <si>
    <t>Đà cản BTCT 1,2m (Nhân công đã qui đổi sang ĐG chiếu sáng)</t>
  </si>
  <si>
    <t>CDDON</t>
  </si>
  <si>
    <t>Cần đèn STK D60 đơn cao 2m vươn 1,5m nghiêng 15 độ</t>
  </si>
  <si>
    <t>cần</t>
  </si>
  <si>
    <t>Cần đèn STK D60 đôi cao 2m vươn 1,5m nghiêng 15 độ</t>
  </si>
  <si>
    <t>CD-Sonadezi</t>
  </si>
  <si>
    <t>Cần đèn STK D60 đơn cao 1,7m vươn 2,8m (CĐT cung cấp)</t>
  </si>
  <si>
    <t>Cần đèn STK D60 đơn cao 1m vươn 1,8m nghiêng 15 độ + chụp đầu trụ</t>
  </si>
  <si>
    <t>CDDOI+C</t>
  </si>
  <si>
    <t>Cần đèn STK D60 đôi cao 1m vươn 1,8m nghiêng 15 độ + chụp đầu trụ</t>
  </si>
  <si>
    <t>CDBA</t>
  </si>
  <si>
    <t>Cần đèn STK D60 ba cao 1mét vươn 1,8 mét góc nghiêng 15 độ</t>
  </si>
  <si>
    <t>Choá đèn 73FS 10 + bóng OSAM-250W + tụ điện + ballast</t>
  </si>
  <si>
    <t>DEN-sonadezi</t>
  </si>
  <si>
    <t>Choá đèn + bóng 250W (CĐT cung cấp)</t>
  </si>
  <si>
    <t>Cầu chì nhựa trong nhà 5A+ chì 5A</t>
  </si>
  <si>
    <t>DOMINO</t>
  </si>
  <si>
    <t>Đômino đấu nối trong trụ đèn</t>
  </si>
  <si>
    <t>LCAN+C</t>
  </si>
  <si>
    <t>CS3.02.011</t>
  </si>
  <si>
    <t>Lắp cần đèn +  chụp đầu cột hạ thế ≤ 10,5m</t>
  </si>
  <si>
    <t>LCAN2,8</t>
  </si>
  <si>
    <t>CS3.03.011</t>
  </si>
  <si>
    <t>Lắp cần đèn D60 ≤ 2,8m</t>
  </si>
  <si>
    <t>LCAN3,2</t>
  </si>
  <si>
    <t>CS3.03.012</t>
  </si>
  <si>
    <t>Lắp cần đèn D60 ≤ 3,2m</t>
  </si>
  <si>
    <t>LTD-DEN</t>
  </si>
  <si>
    <t>CS3.07.023</t>
  </si>
  <si>
    <t>Lắp dây tiếp địa CS</t>
  </si>
  <si>
    <t>CS3.05.001</t>
  </si>
  <si>
    <t>Lắp chóa đèn chiếu sáng ≤ 12m</t>
  </si>
  <si>
    <t>LTRUDEN</t>
  </si>
  <si>
    <t>CS3.01.013</t>
  </si>
  <si>
    <t>Lắp trụ thép ≤ 8m bằng thủ công</t>
  </si>
  <si>
    <t>LBTLT</t>
  </si>
  <si>
    <t>CS3.01.021</t>
  </si>
  <si>
    <t>Lắp trụ BTLT ≤ 10m bằng cơ giới</t>
  </si>
  <si>
    <t>CS4.08.010</t>
  </si>
  <si>
    <t>Luồn dây lên đèn</t>
  </si>
  <si>
    <t>CS4.02.011</t>
  </si>
  <si>
    <t>Kéo rải cáp chiếu sáng D&lt;25</t>
  </si>
  <si>
    <t>KCAPDEN25</t>
  </si>
  <si>
    <t>CS4.02.021</t>
  </si>
  <si>
    <t>Kéo rải cáp chiếu sáng D&gt;25</t>
  </si>
  <si>
    <t>LCAPDEN</t>
  </si>
  <si>
    <t>CS4.04.010</t>
  </si>
  <si>
    <t>Lắp rải cáp ngầm chiếu sáng</t>
  </si>
  <si>
    <t>CS4.03.010</t>
  </si>
  <si>
    <t>Lắp đầu cáp ngầm chiếu sáng</t>
  </si>
  <si>
    <t>Lcauchi</t>
  </si>
  <si>
    <t>CS4.03.020</t>
  </si>
  <si>
    <t>Lắp cầu chì đuôi cá</t>
  </si>
  <si>
    <t>Lắp ống PVC D60 (Nhân công đã qui đổi về ĐG chiếu sáng)</t>
  </si>
  <si>
    <t>LPVC90CL CS</t>
  </si>
  <si>
    <t>07,2406</t>
  </si>
  <si>
    <t>Lắp ống PVC D90 (Nhân công đã qui đổi về ĐG chiếu sáng)</t>
  </si>
  <si>
    <t>Lắp ống sắt d&lt;120mm (Nhân công đã qui đổi về ĐG chiếu sáng)</t>
  </si>
  <si>
    <t>LGACH CS</t>
  </si>
  <si>
    <t>Lắp gạch mương CS (Nhân công đã qui đổi về ĐG chiếu sáng)</t>
  </si>
  <si>
    <t>DMCS</t>
  </si>
  <si>
    <t>CS1.01.160</t>
  </si>
  <si>
    <t>Đào đất mương cáp CS</t>
  </si>
  <si>
    <t>DDMCS3</t>
  </si>
  <si>
    <t>CS1.02.023</t>
  </si>
  <si>
    <t>Đắp đất mương cáp CS đất cấp 3</t>
  </si>
  <si>
    <t>DCatMCS</t>
  </si>
  <si>
    <t>CS1.02.024</t>
  </si>
  <si>
    <t>Đắp cát mương cáp CS</t>
  </si>
  <si>
    <t>DMongCS</t>
  </si>
  <si>
    <t>CS1.01.140</t>
  </si>
  <si>
    <t>Đào móng trụ CS sâu ≤ 1m trên vỉa hè</t>
  </si>
  <si>
    <t>DMongCS1</t>
  </si>
  <si>
    <t>CS1.01.150</t>
  </si>
  <si>
    <t>Đào móng trụ CS sâu &gt;1m trên vỉa hè</t>
  </si>
  <si>
    <t>DDMongCS3</t>
  </si>
  <si>
    <t>CS1.02.013</t>
  </si>
  <si>
    <t>Đắp đất móng trụ CS, đất cấp 3</t>
  </si>
  <si>
    <t>DCatMongCS</t>
  </si>
  <si>
    <t>CS1.02.014</t>
  </si>
  <si>
    <t>Đắp cát móng trụ CS</t>
  </si>
  <si>
    <t>DongCTD</t>
  </si>
  <si>
    <t>CS3.07.012</t>
  </si>
  <si>
    <t>Đóng cọc tiếp địa hệ thống CS</t>
  </si>
  <si>
    <t>DBTM150</t>
  </si>
  <si>
    <t>CS2.01.011</t>
  </si>
  <si>
    <t>Đổ bêtông móng trụ M150 đá 1x2</t>
  </si>
  <si>
    <t>DBTM150CS</t>
  </si>
  <si>
    <t>Đổ bêtông móng trụ M150 &lt;=250cm</t>
  </si>
  <si>
    <t>DBT20012CS</t>
  </si>
  <si>
    <t>04.3323</t>
  </si>
  <si>
    <t>Đổ betông M200 đá 1x2 (Nhân công đã qui đổi về ĐG chiếu sáng)</t>
  </si>
  <si>
    <t>Hộp CB phân đoạn</t>
  </si>
  <si>
    <t>hộp</t>
  </si>
  <si>
    <t>CCĐMBA</t>
  </si>
  <si>
    <t>Chụp cách điện đầu cực MBA</t>
  </si>
  <si>
    <t>Chụp cách điện đầu cực FCO (trên + dưới)</t>
  </si>
  <si>
    <t>CCĐLA</t>
  </si>
  <si>
    <t>Chụp cách điện đầu cực LA</t>
  </si>
  <si>
    <t>CCDQU</t>
  </si>
  <si>
    <t>Chụp cách điện kẹp quai</t>
  </si>
  <si>
    <t>Bộ tiếp địa cố định</t>
  </si>
  <si>
    <t>V/c phụ kiện vào vị trí (cự ly &lt;=100m)</t>
  </si>
  <si>
    <t>V/c dụng cụ thi công vào vị trí (cự ly &lt;=100m)</t>
  </si>
  <si>
    <t>vcCAT</t>
  </si>
  <si>
    <t>DA</t>
  </si>
  <si>
    <t>vcNX</t>
  </si>
  <si>
    <t>Bộ dự toán</t>
  </si>
  <si>
    <t>Móng bê tông trụ đôi 7,5m</t>
  </si>
  <si>
    <t>Tiếp địa lặp lại trụ 7,5m cáp ABC</t>
  </si>
  <si>
    <t xml:space="preserve">BTLT 8.4 </t>
  </si>
  <si>
    <t>Trụ bê tông ly tâm 8.4m không dây tiếp địa</t>
  </si>
  <si>
    <t>X-22Kk</t>
  </si>
  <si>
    <t>X-22K</t>
  </si>
  <si>
    <t>Phân trung thế 1 pha XD mới</t>
  </si>
  <si>
    <t>MDD3DC</t>
  </si>
  <si>
    <t>Đo đất móng cột, trụ, hố kiểm tra rộng &gt;3m, su ≤2m, đất cấp 3 bằng thủ công (p dụng cho móng đ cản)</t>
  </si>
  <si>
    <t>GO-CH</t>
  </si>
  <si>
    <t>Gỗ chống</t>
  </si>
  <si>
    <t>GO-DN</t>
  </si>
  <si>
    <t>Gỗ đà nẹp</t>
  </si>
  <si>
    <t>GO-V</t>
  </si>
  <si>
    <t>Gỗ ván (cả nẹp)</t>
  </si>
  <si>
    <t>MDD3R1</t>
  </si>
  <si>
    <t>Đo đất mĩng cột, trụ, hố kiểm tra rộng &gt;1m, su &gt;1m, đất cấp 3 bằng thủ cơng</t>
  </si>
  <si>
    <t>B16750V</t>
  </si>
  <si>
    <t>Boulon 16x750VRS+ 4 long đền vuông D18-50x50x3/Zn</t>
  </si>
  <si>
    <t>LVANK</t>
  </si>
  <si>
    <t>Ván khuôn gỗ móng - móng vuông, chữ nhật</t>
  </si>
  <si>
    <t>100m2</t>
  </si>
  <si>
    <t>T12540</t>
  </si>
  <si>
    <t>Trụ BTLT 12m F540 dự ứng lực (k=2)</t>
  </si>
  <si>
    <t>d22</t>
  </si>
  <si>
    <t>Đà Sắt góc L75 x75 x8 dài 2,2m (4 ốp)</t>
  </si>
  <si>
    <t>thanh</t>
  </si>
  <si>
    <t>t81</t>
  </si>
  <si>
    <t>Thanh chống đà sắt góc L50x50x5 dài 0,81m</t>
  </si>
  <si>
    <t>d200</t>
  </si>
  <si>
    <t>Đà Sắt góc L75 x75 x8 dài 2m (3 ốp)</t>
  </si>
  <si>
    <t>t115</t>
  </si>
  <si>
    <t>Thanh chống đà sắt góc L50x50x5 dài 1,15m</t>
  </si>
  <si>
    <t>XT2</t>
  </si>
  <si>
    <t>Xà đỡ thẳng lệch 3 pha 2m - 1 mạch</t>
  </si>
  <si>
    <t>XTK2</t>
  </si>
  <si>
    <t>Xà đỡ lệch góc 3 pha 2m - 1 mạch</t>
  </si>
  <si>
    <t>MANG4</t>
  </si>
  <si>
    <t>Máng che dây chằng dày 0,4x2000</t>
  </si>
  <si>
    <t>ACX50</t>
  </si>
  <si>
    <t>Cáp nhôm lõi thép bọc 24KV AC/XLPE50 mm2</t>
  </si>
  <si>
    <t>GNIU 185</t>
  </si>
  <si>
    <t>Giáp níu dừng dây bọc 185 + yếm móng U + Mắt nối yếm</t>
  </si>
  <si>
    <t>GNIU50</t>
  </si>
  <si>
    <t>Giáp níu dừng dây bọc 50mm2 + yếm móng U + Mắt nối yếm</t>
  </si>
  <si>
    <t>ke279</t>
  </si>
  <si>
    <t>Kẹp ép WR 279</t>
  </si>
  <si>
    <t>ke419</t>
  </si>
  <si>
    <t>Kẹp ép WR 419</t>
  </si>
  <si>
    <t>ke929</t>
  </si>
  <si>
    <t>Kẹp ép WR 929</t>
  </si>
  <si>
    <t>OCN</t>
  </si>
  <si>
    <t>Ong co nhiệt cách điện 24kV D60</t>
  </si>
  <si>
    <t>chupU</t>
  </si>
  <si>
    <t>Chụp kẹp Uquai</t>
  </si>
  <si>
    <t>KDIN</t>
  </si>
  <si>
    <t>Dây đai + khóa đai Inoc</t>
  </si>
  <si>
    <t>Dbsttf</t>
  </si>
  <si>
    <t>Dây buộc đầu sứ TTF (185-240mm2)</t>
  </si>
  <si>
    <t>Dbsssf</t>
  </si>
  <si>
    <t>Dây buộc cổ sứ SSF (185-240mm2)</t>
  </si>
  <si>
    <t>LSDD</t>
  </si>
  <si>
    <t>Lắp sứ đứng 24KV + ty</t>
  </si>
  <si>
    <t>lbfco200-22</t>
  </si>
  <si>
    <t>tu22</t>
  </si>
  <si>
    <t>BTLT 8.4</t>
  </si>
  <si>
    <t>Boulon 16x35</t>
  </si>
  <si>
    <t>Boulon 16x40</t>
  </si>
  <si>
    <t>Boulon 16x50</t>
  </si>
  <si>
    <t>Boulon 16x100</t>
  </si>
  <si>
    <t>Boulon 16x150</t>
  </si>
  <si>
    <t>Boulon 16x200</t>
  </si>
  <si>
    <t>Boulon 16x230/80</t>
  </si>
  <si>
    <t>Boulon 16x240/80</t>
  </si>
  <si>
    <t>Boulon 16x250</t>
  </si>
  <si>
    <t>Boulon 16x260/80</t>
  </si>
  <si>
    <t>Boulon 16x270/80</t>
  </si>
  <si>
    <t>Boulon 16x280/80</t>
  </si>
  <si>
    <t>Boulon 16x300</t>
  </si>
  <si>
    <t>Boulon 16x320</t>
  </si>
  <si>
    <t>Boulon 16x350</t>
  </si>
  <si>
    <t>Boulon 16x400</t>
  </si>
  <si>
    <t>Boulon 16x450</t>
  </si>
  <si>
    <t>Boulon 16x500</t>
  </si>
  <si>
    <t>Boulon 16x600</t>
  </si>
  <si>
    <t>Boulon 30x800</t>
  </si>
  <si>
    <t>Boulon 30x1000</t>
  </si>
  <si>
    <t>Boulon mắt 16x230</t>
  </si>
  <si>
    <t>Boulon mắt 16x250</t>
  </si>
  <si>
    <t>Boulon mắt 16x300</t>
  </si>
  <si>
    <t xml:space="preserve">Boulon 16x500VRS + đai ốc mắt </t>
  </si>
  <si>
    <t>Boulon 14x100</t>
  </si>
  <si>
    <t>Boulon 14x150</t>
  </si>
  <si>
    <t>Boulon thau 12x30</t>
  </si>
  <si>
    <t>Boulon thau 12x40</t>
  </si>
  <si>
    <t>Boulon thau 12x50</t>
  </si>
  <si>
    <t>Boulon 10x250</t>
  </si>
  <si>
    <t>Boulon 12x30</t>
  </si>
  <si>
    <t>Boulon 12x40</t>
  </si>
  <si>
    <t>Boulon 12x50</t>
  </si>
  <si>
    <t>Boulon 12x60</t>
  </si>
  <si>
    <t>Boulon 12x80</t>
  </si>
  <si>
    <t>Boulon 12x100</t>
  </si>
  <si>
    <t>Boulon 12x150</t>
  </si>
  <si>
    <t>Boulon 12x200</t>
  </si>
  <si>
    <t>Boulon 10x40</t>
  </si>
  <si>
    <t>Boulon 10x50</t>
  </si>
  <si>
    <t>Boulon thau 10x30</t>
  </si>
  <si>
    <t>Boulon 6x30</t>
  </si>
  <si>
    <t>Boulon 4x60</t>
  </si>
  <si>
    <t>Boulon 22x260</t>
  </si>
  <si>
    <t>Boulon 22x450</t>
  </si>
  <si>
    <t>Boulon 22x500</t>
  </si>
  <si>
    <t>Boulon 22x550/100</t>
  </si>
  <si>
    <t>Boulon 22x600</t>
  </si>
  <si>
    <t>Boulon 22x650</t>
  </si>
  <si>
    <t>Boulon 22x700</t>
  </si>
  <si>
    <t>Boulon 22x750</t>
  </si>
  <si>
    <t>Boulon 22x800</t>
  </si>
  <si>
    <t>Boulon 22x850</t>
  </si>
  <si>
    <t>Boulon 22x1000</t>
  </si>
  <si>
    <t xml:space="preserve">Boulon 22x500/150 chẻ đuôi cá </t>
  </si>
  <si>
    <t>Boulon móc 16x250</t>
  </si>
  <si>
    <t>Boulon móc 16x300</t>
  </si>
  <si>
    <t>TC920</t>
  </si>
  <si>
    <t>Thanh chống đà 920</t>
  </si>
  <si>
    <t>TC810</t>
  </si>
  <si>
    <t>Thanh chống đà  810</t>
  </si>
  <si>
    <t>TC1150</t>
  </si>
  <si>
    <t>Thanh chống đà  1150</t>
  </si>
  <si>
    <t>TC</t>
  </si>
  <si>
    <t>Xa1660</t>
  </si>
  <si>
    <t>xa2000</t>
  </si>
  <si>
    <t>xa2200</t>
  </si>
  <si>
    <t>com800</t>
  </si>
  <si>
    <t>xa1660</t>
  </si>
  <si>
    <t>tc810</t>
  </si>
  <si>
    <t>STTT</t>
  </si>
  <si>
    <t>STTT-2BAT</t>
  </si>
  <si>
    <t>Chuỗi sứ treo thủy tinh 2 bát</t>
  </si>
  <si>
    <t>len</t>
  </si>
  <si>
    <t>Kep3U</t>
  </si>
  <si>
    <t>3/ Đơn vị giám sát thi công: Trung tâm Khuyến công và Tư vấn PTCN tỉnh Đồng Nai</t>
  </si>
  <si>
    <t>TÊN CÔNG TY</t>
  </si>
  <si>
    <t>TÊN CÔNG TY MỤC</t>
  </si>
  <si>
    <t>GIỚI TÍNH GIÁM ĐỐC</t>
  </si>
  <si>
    <t>GIÁM ĐỐC TC</t>
  </si>
  <si>
    <t>GIỚI TÍNHGSB</t>
  </si>
  <si>
    <t>GSB</t>
  </si>
  <si>
    <t>Đơn vị Giám sát</t>
  </si>
  <si>
    <t>Giám sát chính</t>
  </si>
  <si>
    <t>Giám sát viên 1</t>
  </si>
  <si>
    <t>Giám sát viên 2</t>
  </si>
  <si>
    <t>Giám sát viên 3</t>
  </si>
  <si>
    <t>CTY THIẾT KẾ</t>
  </si>
  <si>
    <t>MỤC CTY TK</t>
  </si>
  <si>
    <t>GIÁM ĐỐC TK</t>
  </si>
  <si>
    <t>KHẢO SÁT</t>
  </si>
  <si>
    <t>VẼ</t>
  </si>
  <si>
    <t>GSA</t>
  </si>
  <si>
    <t>GIỚI TÍNH CHỦ ĐẦU TƯ</t>
  </si>
  <si>
    <t>CHỦ ĐẦU TƯ</t>
  </si>
  <si>
    <t>Địa phương</t>
  </si>
  <si>
    <t>ĐỊA PHƯƠNG</t>
  </si>
  <si>
    <t>Tên Công trình</t>
  </si>
  <si>
    <t>TÊN CÔNG TRÌNH - HOA</t>
  </si>
  <si>
    <t>Địa điểm công trình</t>
  </si>
  <si>
    <t>ĐỊA ĐIỂM CÔNG TRÌNH</t>
  </si>
  <si>
    <t>Công ty TNHH Thu Lộc</t>
  </si>
  <si>
    <t>CÔNG TY TNHH
THU LỘC</t>
  </si>
  <si>
    <t>Bà</t>
  </si>
  <si>
    <t>Ông</t>
  </si>
  <si>
    <t>Trung tâm Khuyến công và Tư vấn PTCN tỉnh Đồng Nai</t>
  </si>
  <si>
    <t>Công ty TNHH Cổ phần KT-TM và Tư vấn Thiên Phú</t>
  </si>
  <si>
    <t>CÔNG TY TNHH CP 
KT-TM VÀ TƯ VẤN THIÊN PHÚ</t>
  </si>
  <si>
    <t>Dương Bình Chánh</t>
  </si>
  <si>
    <t>Trương Hồng Chinh</t>
  </si>
  <si>
    <t>Phạm Đình Lộc</t>
  </si>
  <si>
    <t>Điện lực Xuân Lộc</t>
  </si>
  <si>
    <t>Xuân Lộc</t>
  </si>
  <si>
    <t>Nâng cấp đường dây trung thế từ recloser Xuân Bắc đến LBS khí Chế Biến tuyến 480 Xuân Bắc</t>
  </si>
  <si>
    <t>CVX25</t>
  </si>
  <si>
    <t>sttt</t>
  </si>
  <si>
    <t>ac70</t>
  </si>
  <si>
    <t>ac50</t>
  </si>
  <si>
    <t>X-16Đ</t>
  </si>
  <si>
    <t>b16250</t>
  </si>
  <si>
    <t>tsd20</t>
  </si>
  <si>
    <t>b16300</t>
  </si>
  <si>
    <t>b1650</t>
  </si>
  <si>
    <t>X-16K</t>
  </si>
  <si>
    <t>b15250</t>
  </si>
  <si>
    <t>tc1150</t>
  </si>
  <si>
    <t>Boulon 16x300VRS</t>
  </si>
  <si>
    <t>b16300v</t>
  </si>
  <si>
    <t>c5/8</t>
  </si>
  <si>
    <t>cl12-b</t>
  </si>
  <si>
    <t>cx12-b</t>
  </si>
  <si>
    <t>sn</t>
  </si>
  <si>
    <t>k3b</t>
  </si>
  <si>
    <t>bm16300</t>
  </si>
  <si>
    <t>cl1200</t>
  </si>
  <si>
    <t>t84</t>
  </si>
  <si>
    <t>t12</t>
  </si>
  <si>
    <t>b16200</t>
  </si>
  <si>
    <t>Boulon móc 16x200</t>
  </si>
  <si>
    <t>BMOC16200</t>
  </si>
  <si>
    <t>X-com800</t>
  </si>
  <si>
    <t>Bộ đà composite 0,8m</t>
  </si>
  <si>
    <t>x-com800</t>
  </si>
  <si>
    <t>b1250</t>
  </si>
  <si>
    <t>b16400</t>
  </si>
  <si>
    <t>bmoc16300</t>
  </si>
  <si>
    <t>kq2/0</t>
  </si>
  <si>
    <t>GIP</t>
  </si>
  <si>
    <t>Ghíp nối IPC</t>
  </si>
  <si>
    <t>gip</t>
  </si>
  <si>
    <t>sd</t>
  </si>
  <si>
    <t>KE2/0</t>
  </si>
  <si>
    <t>XA2000</t>
  </si>
  <si>
    <t>2M</t>
  </si>
  <si>
    <t>Đà 2m X-20Đ</t>
  </si>
  <si>
    <t>XA1660</t>
  </si>
  <si>
    <t>XA2200</t>
  </si>
</sst>
</file>

<file path=xl/styles.xml><?xml version="1.0" encoding="utf-8"?>
<styleSheet xmlns="http://schemas.openxmlformats.org/spreadsheetml/2006/main" xmlns:mc="http://schemas.openxmlformats.org/markup-compatibility/2006" xmlns:x14ac="http://schemas.microsoft.com/office/spreadsheetml/2009/9/ac" mc:Ignorable="x14ac">
  <numFmts count="51">
    <numFmt numFmtId="41" formatCode="_(* #,##0_);_(* \(#,##0\);_(* &quot;-&quot;_);_(@_)"/>
    <numFmt numFmtId="43" formatCode="_(* #,##0.00_);_(* \(#,##0.00\);_(* &quot;-&quot;??_);_(@_)"/>
    <numFmt numFmtId="164" formatCode="_(* #,##0_);_(* \(#,##0\);_(* &quot;-&quot;??_);_(@_)"/>
    <numFmt numFmtId="165" formatCode="0000"/>
    <numFmt numFmtId="166" formatCode="d/m/yy;@"/>
    <numFmt numFmtId="167" formatCode="#,##0.0000"/>
    <numFmt numFmtId="168" formatCode="_-* #,##0.00_-;\-* #,##0.00_-;_-* &quot;-&quot;??_-;_-@_-"/>
    <numFmt numFmtId="169" formatCode="#.##0"/>
    <numFmt numFmtId="170" formatCode="0.0"/>
    <numFmt numFmtId="171" formatCode="0.000"/>
    <numFmt numFmtId="172" formatCode="#,##0.0"/>
    <numFmt numFmtId="173" formatCode="#,##0.000"/>
    <numFmt numFmtId="174" formatCode="_(* #,##0.000_);_(* \(#,##0.000\);_(* &quot;-&quot;??_);_(@_)"/>
    <numFmt numFmtId="175" formatCode="_(* #,##0.0_);_(* \(#,##0.0\);_(* &quot;-&quot;??_);_(@_)"/>
    <numFmt numFmtId="177" formatCode="###,###&quot; m&quot;"/>
    <numFmt numFmtId="178" formatCode="&quot;KD&quot;###"/>
    <numFmt numFmtId="179" formatCode="###,###.0&quot; m&quot;"/>
    <numFmt numFmtId="184" formatCode="0.0000"/>
    <numFmt numFmtId="185" formatCode="_-&quot;ñ&quot;* #,##0_-;\-&quot;ñ&quot;* #,##0_-;_-&quot;ñ&quot;* &quot;-&quot;_-;_-@_-"/>
    <numFmt numFmtId="186" formatCode="_-&quot;$&quot;\ * #,##0_-;\-&quot;$&quot;\ * #,##0_-;_-&quot;$&quot;\ * &quot;-&quot;_-;_-@_-"/>
    <numFmt numFmtId="187" formatCode="_-&quot;$&quot;* #,##0_-;\-&quot;$&quot;* #,##0_-;_-&quot;$&quot;* &quot;-&quot;_-;_-@_-"/>
    <numFmt numFmtId="188" formatCode="_-* #,##0.00_-;\-* #,##0.00_-;_-* &quot;-&quot;&quot;?&quot;&quot;?&quot;_-;_-@_-"/>
    <numFmt numFmtId="189" formatCode="_-* #,##0.00\ _F_-;\-* #,##0.00\ _F_-;_-* &quot;-&quot;&quot;?&quot;&quot;?&quot;\ _F_-;_-@_-"/>
    <numFmt numFmtId="190" formatCode="_-* #,##0.00\ _ñ_-;\-* #,##0.00\ _ñ_-;_-* &quot;-&quot;&quot;?&quot;&quot;?&quot;\ _ñ_-;_-@_-"/>
    <numFmt numFmtId="191" formatCode="_-* #,##0_-;\-* #,##0_-;_-* &quot;-&quot;_-;_-@_-"/>
    <numFmt numFmtId="192" formatCode="_-* #,##0\ &quot;ñ&quot;_-;\-* #,##0\ &quot;ñ&quot;_-;_-* &quot;-&quot;\ &quot;ñ&quot;_-;_-@_-"/>
    <numFmt numFmtId="193" formatCode="_-* #,##0\ _F_-;\-* #,##0\ _F_-;_-* &quot;-&quot;\ _F_-;_-@_-"/>
    <numFmt numFmtId="194" formatCode="_-* #,##0\ _ñ_-;\-* #,##0\ _ñ_-;_-* &quot;-&quot;\ _ñ_-;_-@_-"/>
    <numFmt numFmtId="195" formatCode="_ * #,##0_)\ &quot;F&quot;_ ;_ * \(#,##0\)\ &quot;F&quot;_ ;_ * &quot;-&quot;_)\ &quot;F&quot;_ ;_ @_ "/>
    <numFmt numFmtId="196" formatCode="&quot;£&quot;#,##0.00;\-&quot;£&quot;#,##0.00"/>
    <numFmt numFmtId="197" formatCode="_ * #,##0_)\ _$_ ;_ * \(#,##0\)\ _$_ ;_ * &quot;-&quot;_)\ _$_ ;_ @_ "/>
    <numFmt numFmtId="198" formatCode="_-&quot;F&quot;* #,##0_-;\-&quot;F&quot;* #,##0_-;_-&quot;F&quot;* &quot;-&quot;_-;_-@_-"/>
    <numFmt numFmtId="199" formatCode="_ * #,##0_ ;_ * \-#,##0_ ;_ * &quot;-&quot;_ ;_ @_ "/>
    <numFmt numFmtId="200" formatCode="_ * #,##0.00_ ;_ * \-#,##0.00_ ;_ * &quot;-&quot;&quot;?&quot;&quot;?&quot;_ ;_ @_ "/>
    <numFmt numFmtId="201" formatCode="_-* #,##0.00\ &quot;F&quot;_-;\-* #,##0.00\ &quot;F&quot;_-;_-* &quot;-&quot;&quot;?&quot;&quot;?&quot;\ &quot;F&quot;_-;_-@_-"/>
    <numFmt numFmtId="202" formatCode="_(* #,##0.00_);_(* \(#,##0.00\);_(* &quot;-&quot;&quot;?&quot;&quot;?&quot;_);_(@_)"/>
    <numFmt numFmtId="203" formatCode="_-* #,##0.000\ _F_-;\-* #,##0.000\ _F_-;_-* &quot;-&quot;&quot;?&quot;&quot;?&quot;\ _F_-;_-@_-"/>
    <numFmt numFmtId="204" formatCode="#,##0\ &quot;$&quot;_);[Red]\(#,##0\ &quot;$&quot;\)"/>
    <numFmt numFmtId="205" formatCode="&quot;$&quot;###,0&quot;.&quot;00_);[Red]\(&quot;$&quot;###,0&quot;.&quot;00\)"/>
    <numFmt numFmtId="206" formatCode="_-* #,##0\ _F_-;\-* #,##0\ _F_-;_-* &quot;-&quot;\ _F_-;[Red]_-@_-"/>
    <numFmt numFmtId="207" formatCode="#,##0.00\ &quot;F&quot;;[Red]\-#,##0.00\ &quot;F&quot;"/>
    <numFmt numFmtId="208" formatCode="#,##0\ &quot;F&quot;;[Red]\-#,##0\ &quot;F&quot;"/>
    <numFmt numFmtId="209" formatCode="\ \ \-\ @"/>
    <numFmt numFmtId="210" formatCode="_-* #,##0\ &quot;F&quot;_-;\-* #,##0\ &quot;F&quot;_-;_-* &quot;-&quot;\ &quot;F&quot;_-;_-@_-"/>
    <numFmt numFmtId="211" formatCode="0\ \ \ \ "/>
    <numFmt numFmtId="212" formatCode="#,##0.00\ &quot;F&quot;;\-#,##0.00\ &quot;F&quot;"/>
    <numFmt numFmtId="213" formatCode="_-* #,##0.0\ _F_-;\-* #,##0.0\ _F_-;_-* &quot;-&quot;&quot;?&quot;\ _F_-;_-@_-"/>
    <numFmt numFmtId="214" formatCode="_(* #,##0_);_(* \(#,##0\);_(* &quot;-&quot;&quot;?&quot;&quot;?&quot;_);_(@_)"/>
    <numFmt numFmtId="215" formatCode="_-* #,##0\ _F_-;\-* #,##0\ _F_-;_-* &quot;-&quot;&quot;?&quot;&quot;?&quot;\ _F_-;_-@_-"/>
    <numFmt numFmtId="216" formatCode="_-* #,##0.0\ _F_-;\-* #,##0.0\ _F_-;_-* &quot;-&quot;&quot;?&quot;&quot;?&quot;\ _F_-;_-@_-"/>
    <numFmt numFmtId="217" formatCode="_-&quot;$&quot;* #,##0.00_-;\-&quot;$&quot;* #,##0.00_-;_-&quot;$&quot;* &quot;-&quot;&quot;?&quot;&quot;?&quot;_-;_-@_-"/>
  </numFmts>
  <fonts count="108">
    <font>
      <sz val="13"/>
      <name val="Times New Roman"/>
      <family val="1"/>
    </font>
    <font>
      <sz val="11"/>
      <color theme="1"/>
      <name val="Calibri"/>
      <family val="2"/>
      <scheme val="minor"/>
    </font>
    <font>
      <sz val="13"/>
      <name val="Times New Roman"/>
      <family val="1"/>
    </font>
    <font>
      <b/>
      <sz val="13"/>
      <name val="Times New Roman"/>
      <family val="1"/>
    </font>
    <font>
      <b/>
      <sz val="13"/>
      <color rgb="FF000000"/>
      <name val="Times New Roman"/>
      <family val="1"/>
    </font>
    <font>
      <sz val="13"/>
      <color rgb="FF000000"/>
      <name val="Times New Roman"/>
      <family val="1"/>
    </font>
    <font>
      <sz val="13"/>
      <color rgb="FF0000CC"/>
      <name val="Times New Roman"/>
      <family val="1"/>
    </font>
    <font>
      <b/>
      <sz val="14"/>
      <color rgb="FF000000"/>
      <name val="Times New Roman"/>
      <family val="1"/>
    </font>
    <font>
      <sz val="10"/>
      <name val="Arial"/>
      <family val="2"/>
    </font>
    <font>
      <b/>
      <sz val="12"/>
      <color rgb="FF000000"/>
      <name val="Times New Roman"/>
      <family val="1"/>
    </font>
    <font>
      <sz val="12"/>
      <color rgb="FF0000CC"/>
      <name val="Times New Roman"/>
      <family val="1"/>
    </font>
    <font>
      <sz val="12"/>
      <color rgb="FF000000"/>
      <name val="Times New Roman"/>
      <family val="1"/>
    </font>
    <font>
      <sz val="12"/>
      <color theme="0"/>
      <name val="Times New Roman"/>
      <family val="1"/>
    </font>
    <font>
      <sz val="12"/>
      <name val="Times New Roman"/>
      <family val="1"/>
    </font>
    <font>
      <sz val="14"/>
      <color theme="0"/>
      <name val="Times New Roman"/>
      <family val="1"/>
    </font>
    <font>
      <sz val="14"/>
      <color rgb="FF000000"/>
      <name val="Times New Roman"/>
      <family val="1"/>
    </font>
    <font>
      <sz val="14"/>
      <name val="Times New Roman"/>
      <family val="1"/>
    </font>
    <font>
      <sz val="13"/>
      <color theme="0"/>
      <name val="Times New Roman"/>
      <family val="1"/>
    </font>
    <font>
      <sz val="13"/>
      <color rgb="FF3333FF"/>
      <name val="Times New Roman"/>
      <family val="1"/>
    </font>
    <font>
      <sz val="14"/>
      <color rgb="FF000000"/>
      <name val="Arial"/>
      <family val="2"/>
    </font>
    <font>
      <sz val="7"/>
      <color rgb="FF000000"/>
      <name val="Times New Roman"/>
      <family val="1"/>
    </font>
    <font>
      <sz val="13"/>
      <color theme="1"/>
      <name val="Times New Roman"/>
      <family val="2"/>
    </font>
    <font>
      <sz val="13"/>
      <name val="Times New Roman"/>
      <family val="2"/>
    </font>
    <font>
      <b/>
      <i/>
      <sz val="12"/>
      <color rgb="FF000000"/>
      <name val="Times New Roman"/>
      <family val="1"/>
    </font>
    <font>
      <sz val="11"/>
      <color rgb="FF000000"/>
      <name val="Times New Roman"/>
      <family val="1"/>
    </font>
    <font>
      <sz val="13"/>
      <color theme="0" tint="-0.14999847407452621"/>
      <name val="Times New Roman"/>
      <family val="1"/>
    </font>
    <font>
      <b/>
      <sz val="14"/>
      <name val="Times New Roman"/>
      <family val="1"/>
    </font>
    <font>
      <b/>
      <sz val="13"/>
      <color rgb="FFFF0000"/>
      <name val="Times New Roman"/>
      <family val="1"/>
    </font>
    <font>
      <sz val="13"/>
      <color rgb="FFFF0000"/>
      <name val="Times New Roman"/>
      <family val="1"/>
    </font>
    <font>
      <b/>
      <sz val="12"/>
      <name val="Times New Roman"/>
      <family val="1"/>
    </font>
    <font>
      <sz val="13"/>
      <name val="VNI-Times"/>
    </font>
    <font>
      <sz val="12"/>
      <color theme="0" tint="-0.34998626667073579"/>
      <name val="Times New Roman"/>
      <family val="1"/>
    </font>
    <font>
      <b/>
      <sz val="13"/>
      <color theme="0" tint="-0.34998626667073579"/>
      <name val="Times New Roman"/>
      <family val="1"/>
    </font>
    <font>
      <sz val="14"/>
      <color theme="0" tint="-0.34998626667073579"/>
      <name val="VNI-Helve-Condense"/>
    </font>
    <font>
      <sz val="14"/>
      <name val="VNI-Helve-Condense"/>
    </font>
    <font>
      <b/>
      <sz val="14"/>
      <name val="VNI-Helve-Condense"/>
    </font>
    <font>
      <b/>
      <i/>
      <sz val="14"/>
      <name val="Times New Roman"/>
      <family val="1"/>
    </font>
    <font>
      <i/>
      <sz val="14"/>
      <name val="Times New Roman"/>
      <family val="1"/>
    </font>
    <font>
      <sz val="11"/>
      <color theme="0" tint="-0.34998626667073579"/>
      <name val="VNI-Helve-Condense"/>
    </font>
    <font>
      <sz val="11"/>
      <name val="VNI-Helve-Condense"/>
    </font>
    <font>
      <b/>
      <sz val="10"/>
      <name val="Helv"/>
    </font>
    <font>
      <sz val="12"/>
      <color theme="1"/>
      <name val="Times New Roman"/>
      <family val="2"/>
    </font>
    <font>
      <sz val="10"/>
      <name val="VNI-Times"/>
    </font>
    <font>
      <sz val="8"/>
      <name val="Arial"/>
      <family val="2"/>
    </font>
    <font>
      <b/>
      <sz val="12"/>
      <name val="Helv"/>
    </font>
    <font>
      <b/>
      <sz val="12"/>
      <name val="Arial"/>
      <family val="2"/>
    </font>
    <font>
      <u/>
      <sz val="11"/>
      <color theme="10"/>
      <name val="Calibri"/>
      <family val="2"/>
      <scheme val="minor"/>
    </font>
    <font>
      <b/>
      <sz val="11"/>
      <name val="Helv"/>
    </font>
    <font>
      <sz val="10"/>
      <color indexed="8"/>
      <name val="Arial"/>
      <family val="2"/>
    </font>
    <font>
      <sz val="11"/>
      <color rgb="FF000000"/>
      <name val="Calibri"/>
      <family val="2"/>
    </font>
    <font>
      <sz val="13"/>
      <color theme="1"/>
      <name val="Times New Roman"/>
      <family val="1"/>
    </font>
    <font>
      <sz val="11"/>
      <color theme="1"/>
      <name val="Times New Roman"/>
      <family val="2"/>
    </font>
    <font>
      <b/>
      <sz val="10"/>
      <name val="VnBookman"/>
    </font>
    <font>
      <b/>
      <sz val="9"/>
      <color indexed="81"/>
      <name val="Tahoma"/>
      <family val="2"/>
    </font>
    <font>
      <sz val="9"/>
      <color indexed="81"/>
      <name val="Tahoma"/>
      <family val="2"/>
    </font>
    <font>
      <b/>
      <sz val="11"/>
      <name val="Times New Roman"/>
      <family val="1"/>
    </font>
    <font>
      <sz val="10"/>
      <name val="Times New Roman"/>
      <family val="1"/>
    </font>
    <font>
      <b/>
      <sz val="10"/>
      <name val="Times New Roman"/>
      <family val="1"/>
    </font>
    <font>
      <sz val="20"/>
      <name val="Times New Roman"/>
      <family val="1"/>
    </font>
    <font>
      <sz val="10"/>
      <color indexed="10"/>
      <name val="Times New Roman"/>
      <family val="1"/>
    </font>
    <font>
      <sz val="10"/>
      <color rgb="FFFF0000"/>
      <name val="Times New Roman"/>
      <family val="1"/>
    </font>
    <font>
      <b/>
      <sz val="12"/>
      <color theme="1"/>
      <name val="Times New Roman"/>
      <family val="1"/>
    </font>
    <font>
      <b/>
      <sz val="12"/>
      <color rgb="FFFF0000"/>
      <name val="Times New Roman"/>
      <family val="1"/>
    </font>
    <font>
      <b/>
      <sz val="12"/>
      <color theme="0"/>
      <name val="Times New Roman"/>
      <family val="1"/>
    </font>
    <font>
      <b/>
      <i/>
      <sz val="12"/>
      <color rgb="FFFF0000"/>
      <name val="Times New Roman"/>
      <family val="1"/>
    </font>
    <font>
      <b/>
      <sz val="10"/>
      <color theme="0"/>
      <name val="Times New Roman"/>
      <family val="1"/>
    </font>
    <font>
      <sz val="10"/>
      <color indexed="18"/>
      <name val="Times New Roman"/>
      <family val="1"/>
    </font>
    <font>
      <sz val="12"/>
      <color indexed="10"/>
      <name val="Times New Roman"/>
      <family val="1"/>
    </font>
    <font>
      <sz val="12"/>
      <color rgb="FFFF0000"/>
      <name val="Times New Roman"/>
      <family val="1"/>
    </font>
    <font>
      <b/>
      <sz val="12"/>
      <name val="Times New Roman"/>
      <family val="1"/>
      <charset val="163"/>
    </font>
    <font>
      <i/>
      <sz val="10"/>
      <name val="Times New Roman"/>
      <family val="1"/>
    </font>
    <font>
      <i/>
      <sz val="12"/>
      <name val="Times New Roman"/>
      <family val="1"/>
    </font>
    <font>
      <b/>
      <sz val="10"/>
      <color indexed="10"/>
      <name val="Times New Roman"/>
      <family val="1"/>
    </font>
    <font>
      <b/>
      <sz val="12"/>
      <color indexed="10"/>
      <name val="Times New Roman"/>
      <family val="1"/>
    </font>
    <font>
      <i/>
      <sz val="12"/>
      <color indexed="10"/>
      <name val="Times New Roman"/>
      <family val="1"/>
    </font>
    <font>
      <sz val="10"/>
      <name val="Arial"/>
      <family val="2"/>
      <charset val="163"/>
    </font>
    <font>
      <b/>
      <sz val="13"/>
      <color theme="1"/>
      <name val="Times New Roman"/>
      <family val="1"/>
    </font>
    <font>
      <sz val="10"/>
      <name val="VNI-Helve-Condense"/>
    </font>
    <font>
      <sz val="12"/>
      <name val="VNI-Times"/>
    </font>
    <font>
      <sz val="12"/>
      <name val="???"/>
      <family val="3"/>
    </font>
    <font>
      <sz val="10"/>
      <name val="???"/>
      <family val="3"/>
      <charset val="129"/>
    </font>
    <font>
      <i/>
      <sz val="12"/>
      <name val="VNI-Times"/>
    </font>
    <font>
      <sz val="12"/>
      <color indexed="8"/>
      <name val="¹ÙÅÁÃ¼"/>
      <family val="1"/>
      <charset val="129"/>
    </font>
    <font>
      <sz val="14"/>
      <name val="VNI-Times"/>
    </font>
    <font>
      <sz val="12"/>
      <name val="¹UAAA¼"/>
      <family val="3"/>
      <charset val="129"/>
    </font>
    <font>
      <sz val="11"/>
      <name val="VNI-Times"/>
    </font>
    <font>
      <sz val="12"/>
      <name val="¹ÙÅÁÃ¼"/>
      <charset val="129"/>
    </font>
    <font>
      <sz val="11"/>
      <name val="µ¸¿ò"/>
      <charset val="129"/>
    </font>
    <font>
      <sz val="10"/>
      <name val="Helvetica Condensed"/>
    </font>
    <font>
      <sz val="11"/>
      <name val="VNtimes new roman"/>
      <family val="2"/>
    </font>
    <font>
      <sz val="12"/>
      <name val=".VnTime"/>
      <family val="2"/>
    </font>
    <font>
      <b/>
      <sz val="18"/>
      <name val="Arial"/>
      <family val="2"/>
    </font>
    <font>
      <sz val="10"/>
      <name val="VnBookman"/>
      <family val="1"/>
    </font>
    <font>
      <sz val="10"/>
      <name val="MS Sans Serif"/>
      <family val="2"/>
    </font>
    <font>
      <sz val="12"/>
      <name val="Arial"/>
      <family val="2"/>
    </font>
    <font>
      <sz val="10"/>
      <name val="VnBookman"/>
    </font>
    <font>
      <u/>
      <sz val="12"/>
      <color indexed="12"/>
      <name val="Times New Roman"/>
      <family val="1"/>
    </font>
    <font>
      <sz val="13"/>
      <name val=".VnTime"/>
      <family val="2"/>
    </font>
    <font>
      <sz val="10"/>
      <name val=" "/>
      <family val="1"/>
      <charset val="136"/>
    </font>
    <font>
      <sz val="14"/>
      <name val="뼻뮝"/>
      <family val="3"/>
      <charset val="129"/>
    </font>
    <font>
      <sz val="12"/>
      <name val="바탕체"/>
      <family val="3"/>
    </font>
    <font>
      <sz val="12"/>
      <name val="뼻뮝"/>
      <family val="1"/>
      <charset val="129"/>
    </font>
    <font>
      <sz val="10"/>
      <name val="굴림체"/>
      <family val="3"/>
      <charset val="129"/>
    </font>
    <font>
      <b/>
      <sz val="9"/>
      <name val="Arial"/>
      <family val="2"/>
    </font>
    <font>
      <sz val="12"/>
      <name val="新細明體"/>
      <charset val="136"/>
    </font>
    <font>
      <sz val="12"/>
      <name val="Courier"/>
      <family val="3"/>
    </font>
    <font>
      <b/>
      <i/>
      <sz val="12"/>
      <name val="Times New Roman"/>
      <family val="1"/>
    </font>
    <font>
      <b/>
      <sz val="13"/>
      <color theme="0"/>
      <name val="Times New Roman"/>
      <family val="1"/>
    </font>
  </fonts>
  <fills count="18">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rgb="FF00B0F0"/>
        <bgColor indexed="64"/>
      </patternFill>
    </fill>
    <fill>
      <patternFill patternType="solid">
        <fgColor indexed="43"/>
        <bgColor indexed="64"/>
      </patternFill>
    </fill>
    <fill>
      <patternFill patternType="solid">
        <fgColor rgb="FFFF0000"/>
        <bgColor indexed="64"/>
      </patternFill>
    </fill>
    <fill>
      <patternFill patternType="solid">
        <fgColor indexed="11"/>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indexed="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dotted">
        <color indexed="64"/>
      </top>
      <bottom style="dotted">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hair">
        <color auto="1"/>
      </top>
      <bottom style="hair">
        <color auto="1"/>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auto="1"/>
      </right>
      <top style="hair">
        <color auto="1"/>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bottom/>
      <diagonal/>
    </border>
    <border>
      <left/>
      <right style="thin">
        <color indexed="64"/>
      </right>
      <top style="hair">
        <color indexed="64"/>
      </top>
      <bottom style="hair">
        <color indexed="64"/>
      </bottom>
      <diagonal/>
    </border>
    <border>
      <left/>
      <right/>
      <top style="hair">
        <color indexed="64"/>
      </top>
      <bottom/>
      <diagonal/>
    </border>
    <border>
      <left/>
      <right/>
      <top style="double">
        <color indexed="64"/>
      </top>
      <bottom/>
      <diagonal/>
    </border>
  </borders>
  <cellStyleXfs count="195">
    <xf numFmtId="0" fontId="0" fillId="0" borderId="0">
      <alignment vertical="center"/>
    </xf>
    <xf numFmtId="43" fontId="5" fillId="0" borderId="0">
      <alignment vertical="top"/>
      <protection locked="0"/>
    </xf>
    <xf numFmtId="9" fontId="5" fillId="0" borderId="0">
      <alignment vertical="top"/>
      <protection locked="0"/>
    </xf>
    <xf numFmtId="0" fontId="8" fillId="0" borderId="0">
      <protection locked="0"/>
    </xf>
    <xf numFmtId="0" fontId="21" fillId="0" borderId="0"/>
    <xf numFmtId="0" fontId="30" fillId="0" borderId="0"/>
    <xf numFmtId="0" fontId="8" fillId="0" borderId="0"/>
    <xf numFmtId="168" fontId="30" fillId="0" borderId="0" applyFont="0" applyFill="0" applyBorder="0" applyAlignment="0" applyProtection="0"/>
    <xf numFmtId="0" fontId="40" fillId="0" borderId="0"/>
    <xf numFmtId="168" fontId="8" fillId="0" borderId="0">
      <alignment vertical="top"/>
      <protection locked="0"/>
    </xf>
    <xf numFmtId="168" fontId="8" fillId="0" borderId="0" applyFont="0" applyFill="0" applyBorder="0" applyAlignment="0" applyProtection="0"/>
    <xf numFmtId="43" fontId="21" fillId="0" borderId="0" applyFont="0" applyFill="0" applyBorder="0" applyAlignment="0" applyProtection="0"/>
    <xf numFmtId="43" fontId="5" fillId="0" borderId="0">
      <alignment vertical="top"/>
      <protection locked="0"/>
    </xf>
    <xf numFmtId="43" fontId="21"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38" fontId="43" fillId="3" borderId="0" applyNumberFormat="0" applyBorder="0" applyAlignment="0" applyProtection="0"/>
    <xf numFmtId="0" fontId="44" fillId="0" borderId="0">
      <alignment horizontal="left"/>
    </xf>
    <xf numFmtId="0" fontId="45" fillId="0" borderId="20" applyNumberFormat="0" applyAlignment="0" applyProtection="0">
      <alignment horizontal="left" vertical="center"/>
    </xf>
    <xf numFmtId="0" fontId="45" fillId="0" borderId="10">
      <alignment horizontal="left" vertical="center"/>
    </xf>
    <xf numFmtId="0" fontId="46" fillId="0" borderId="0" applyNumberFormat="0" applyFill="0" applyBorder="0" applyAlignment="0" applyProtection="0"/>
    <xf numFmtId="10" fontId="43" fillId="3" borderId="1" applyNumberFormat="0" applyBorder="0" applyAlignment="0" applyProtection="0"/>
    <xf numFmtId="0" fontId="47" fillId="0" borderId="21"/>
    <xf numFmtId="0" fontId="8" fillId="0" borderId="0"/>
    <xf numFmtId="0" fontId="8" fillId="0" borderId="0"/>
    <xf numFmtId="0" fontId="2" fillId="0" borderId="0">
      <alignment vertical="center"/>
    </xf>
    <xf numFmtId="0" fontId="2" fillId="0" borderId="0">
      <alignment horizontal="center" vertical="center"/>
    </xf>
    <xf numFmtId="0" fontId="48" fillId="0" borderId="0">
      <alignment vertical="top"/>
    </xf>
    <xf numFmtId="0" fontId="48" fillId="0" borderId="0">
      <alignment vertical="top"/>
    </xf>
    <xf numFmtId="0" fontId="21" fillId="0" borderId="0"/>
    <xf numFmtId="0" fontId="8" fillId="0" borderId="0"/>
    <xf numFmtId="0" fontId="49" fillId="0" borderId="0">
      <protection locked="0"/>
    </xf>
    <xf numFmtId="0" fontId="49" fillId="0" borderId="0">
      <protection locked="0"/>
    </xf>
    <xf numFmtId="0" fontId="5" fillId="0" borderId="0">
      <protection locked="0"/>
    </xf>
    <xf numFmtId="2" fontId="50" fillId="0" borderId="1">
      <alignment vertical="center"/>
    </xf>
    <xf numFmtId="0" fontId="21" fillId="0" borderId="0"/>
    <xf numFmtId="0" fontId="51" fillId="0" borderId="0"/>
    <xf numFmtId="0" fontId="41" fillId="0" borderId="0"/>
    <xf numFmtId="10" fontId="8"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169" fontId="52" fillId="0" borderId="22" applyFill="0" applyBorder="0" applyProtection="0"/>
    <xf numFmtId="0" fontId="47" fillId="0" borderId="0"/>
    <xf numFmtId="0" fontId="8" fillId="0" borderId="0"/>
    <xf numFmtId="0" fontId="2" fillId="0" borderId="0">
      <alignment horizontal="center" vertical="center"/>
    </xf>
    <xf numFmtId="0" fontId="75" fillId="0" borderId="0"/>
    <xf numFmtId="0" fontId="75" fillId="0" borderId="0"/>
    <xf numFmtId="0" fontId="1" fillId="0" borderId="0"/>
    <xf numFmtId="185" fontId="78" fillId="0" borderId="0" applyFont="0" applyFill="0" applyBorder="0" applyAlignment="0" applyProtection="0"/>
    <xf numFmtId="9" fontId="79" fillId="0" borderId="0" applyFont="0" applyFill="0" applyBorder="0" applyAlignment="0" applyProtection="0"/>
    <xf numFmtId="0" fontId="80" fillId="0" borderId="0"/>
    <xf numFmtId="186" fontId="42"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5" fontId="78" fillId="0" borderId="0" applyFont="0" applyFill="0" applyBorder="0" applyAlignment="0" applyProtection="0"/>
    <xf numFmtId="188" fontId="78" fillId="0" borderId="0" applyFont="0" applyFill="0" applyBorder="0" applyAlignment="0" applyProtection="0"/>
    <xf numFmtId="189" fontId="42" fillId="0" borderId="0" applyFont="0" applyFill="0" applyBorder="0" applyAlignment="0" applyProtection="0"/>
    <xf numFmtId="189" fontId="42" fillId="0" borderId="0" applyFont="0" applyFill="0" applyBorder="0" applyAlignment="0" applyProtection="0"/>
    <xf numFmtId="189" fontId="42" fillId="0" borderId="0" applyFont="0" applyFill="0" applyBorder="0" applyAlignment="0" applyProtection="0"/>
    <xf numFmtId="190" fontId="42" fillId="0" borderId="0" applyFont="0" applyFill="0" applyBorder="0" applyAlignment="0" applyProtection="0"/>
    <xf numFmtId="191" fontId="78" fillId="0" borderId="0" applyFont="0" applyFill="0" applyBorder="0" applyAlignment="0" applyProtection="0"/>
    <xf numFmtId="186" fontId="42" fillId="0" borderId="0" applyFont="0" applyFill="0" applyBorder="0" applyAlignment="0" applyProtection="0"/>
    <xf numFmtId="186" fontId="42" fillId="0" borderId="0" applyFont="0" applyFill="0" applyBorder="0" applyAlignment="0" applyProtection="0"/>
    <xf numFmtId="192" fontId="42" fillId="0" borderId="0" applyFont="0" applyFill="0" applyBorder="0" applyAlignment="0" applyProtection="0"/>
    <xf numFmtId="189" fontId="42" fillId="0" borderId="0" applyFont="0" applyFill="0" applyBorder="0" applyAlignment="0" applyProtection="0"/>
    <xf numFmtId="189" fontId="42" fillId="0" borderId="0" applyFont="0" applyFill="0" applyBorder="0" applyAlignment="0" applyProtection="0"/>
    <xf numFmtId="189" fontId="42" fillId="0" borderId="0" applyFont="0" applyFill="0" applyBorder="0" applyAlignment="0" applyProtection="0"/>
    <xf numFmtId="190" fontId="42" fillId="0" borderId="0" applyFont="0" applyFill="0" applyBorder="0" applyAlignment="0" applyProtection="0"/>
    <xf numFmtId="188" fontId="78"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4" fontId="42" fillId="0" borderId="0" applyFont="0" applyFill="0" applyBorder="0" applyAlignment="0" applyProtection="0"/>
    <xf numFmtId="186" fontId="42" fillId="0" borderId="0" applyFont="0" applyFill="0" applyBorder="0" applyAlignment="0" applyProtection="0"/>
    <xf numFmtId="192" fontId="42" fillId="0" borderId="0" applyFont="0" applyFill="0" applyBorder="0" applyAlignment="0" applyProtection="0"/>
    <xf numFmtId="191" fontId="78" fillId="0" borderId="0" applyFont="0" applyFill="0" applyBorder="0" applyAlignment="0" applyProtection="0"/>
    <xf numFmtId="188" fontId="78"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4" fontId="42" fillId="0" borderId="0" applyFont="0" applyFill="0" applyBorder="0" applyAlignment="0" applyProtection="0"/>
    <xf numFmtId="189" fontId="42" fillId="0" borderId="0" applyFont="0" applyFill="0" applyBorder="0" applyAlignment="0" applyProtection="0"/>
    <xf numFmtId="189" fontId="42" fillId="0" borderId="0" applyFont="0" applyFill="0" applyBorder="0" applyAlignment="0" applyProtection="0"/>
    <xf numFmtId="189" fontId="42" fillId="0" borderId="0" applyFont="0" applyFill="0" applyBorder="0" applyAlignment="0" applyProtection="0"/>
    <xf numFmtId="190" fontId="42" fillId="0" borderId="0" applyFont="0" applyFill="0" applyBorder="0" applyAlignment="0" applyProtection="0"/>
    <xf numFmtId="191"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5" fontId="78" fillId="0" borderId="0" applyFont="0" applyFill="0" applyBorder="0" applyAlignment="0" applyProtection="0"/>
    <xf numFmtId="186" fontId="42" fillId="0" borderId="0" applyFont="0" applyFill="0" applyBorder="0" applyAlignment="0" applyProtection="0"/>
    <xf numFmtId="192" fontId="42" fillId="0" borderId="0" applyFont="0" applyFill="0" applyBorder="0" applyAlignment="0" applyProtection="0"/>
    <xf numFmtId="191" fontId="78"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4" fontId="42" fillId="0" borderId="0" applyFont="0" applyFill="0" applyBorder="0" applyAlignment="0" applyProtection="0"/>
    <xf numFmtId="189" fontId="42" fillId="0" borderId="0" applyFont="0" applyFill="0" applyBorder="0" applyAlignment="0" applyProtection="0"/>
    <xf numFmtId="189" fontId="42" fillId="0" borderId="0" applyFont="0" applyFill="0" applyBorder="0" applyAlignment="0" applyProtection="0"/>
    <xf numFmtId="189" fontId="42" fillId="0" borderId="0" applyFont="0" applyFill="0" applyBorder="0" applyAlignment="0" applyProtection="0"/>
    <xf numFmtId="190" fontId="42"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5" fontId="78" fillId="0" borderId="0" applyFont="0" applyFill="0" applyBorder="0" applyAlignment="0" applyProtection="0"/>
    <xf numFmtId="188" fontId="78" fillId="0" borderId="0" applyFont="0" applyFill="0" applyBorder="0" applyAlignment="0" applyProtection="0"/>
    <xf numFmtId="43" fontId="81" fillId="0" borderId="0"/>
    <xf numFmtId="9" fontId="82" fillId="0" borderId="0" applyBorder="0" applyAlignment="0" applyProtection="0"/>
    <xf numFmtId="195" fontId="83" fillId="0" borderId="0" applyFont="0" applyFill="0" applyBorder="0" applyAlignment="0" applyProtection="0"/>
    <xf numFmtId="0" fontId="84" fillId="0" borderId="0" applyFont="0" applyFill="0" applyBorder="0" applyAlignment="0" applyProtection="0"/>
    <xf numFmtId="196" fontId="85" fillId="0" borderId="0" applyFont="0" applyFill="0" applyBorder="0" applyAlignment="0" applyProtection="0"/>
    <xf numFmtId="197" fontId="83" fillId="0" borderId="0" applyFont="0" applyFill="0" applyBorder="0" applyAlignment="0" applyProtection="0"/>
    <xf numFmtId="0" fontId="84" fillId="0" borderId="0" applyFont="0" applyFill="0" applyBorder="0" applyAlignment="0" applyProtection="0"/>
    <xf numFmtId="198" fontId="83" fillId="0" borderId="0" applyFont="0" applyFill="0" applyBorder="0" applyAlignment="0" applyProtection="0"/>
    <xf numFmtId="199" fontId="86" fillId="0" borderId="0" applyFont="0" applyFill="0" applyBorder="0" applyAlignment="0" applyProtection="0"/>
    <xf numFmtId="0" fontId="84" fillId="0" borderId="0" applyFont="0" applyFill="0" applyBorder="0" applyAlignment="0" applyProtection="0"/>
    <xf numFmtId="199" fontId="86" fillId="0" borderId="0" applyFont="0" applyFill="0" applyBorder="0" applyAlignment="0" applyProtection="0"/>
    <xf numFmtId="200" fontId="86" fillId="0" borderId="0" applyFont="0" applyFill="0" applyBorder="0" applyAlignment="0" applyProtection="0"/>
    <xf numFmtId="0" fontId="84" fillId="0" borderId="0" applyFont="0" applyFill="0" applyBorder="0" applyAlignment="0" applyProtection="0"/>
    <xf numFmtId="200" fontId="86" fillId="0" borderId="0" applyFont="0" applyFill="0" applyBorder="0" applyAlignment="0" applyProtection="0"/>
    <xf numFmtId="187" fontId="78" fillId="0" borderId="0" applyFont="0" applyFill="0" applyBorder="0" applyAlignment="0" applyProtection="0"/>
    <xf numFmtId="0" fontId="84" fillId="0" borderId="0"/>
    <xf numFmtId="0" fontId="56" fillId="0" borderId="0"/>
    <xf numFmtId="0" fontId="84" fillId="0" borderId="0"/>
    <xf numFmtId="0" fontId="87" fillId="0" borderId="0"/>
    <xf numFmtId="201" fontId="42" fillId="0" borderId="0" applyFont="0" applyFill="0" applyBorder="0" applyAlignment="0" applyProtection="0"/>
    <xf numFmtId="202" fontId="88" fillId="0" borderId="0" applyFont="0" applyFill="0" applyBorder="0" applyAlignment="0" applyProtection="0"/>
    <xf numFmtId="3" fontId="8" fillId="0" borderId="0" applyFont="0" applyFill="0" applyBorder="0" applyAlignment="0" applyProtection="0"/>
    <xf numFmtId="189" fontId="89" fillId="0" borderId="0" applyFont="0" applyFill="0" applyBorder="0" applyAlignment="0" applyProtection="0"/>
    <xf numFmtId="203" fontId="90" fillId="0" borderId="0" applyFont="0" applyFill="0" applyBorder="0" applyAlignment="0" applyProtection="0"/>
    <xf numFmtId="0" fontId="8" fillId="0" borderId="0" applyFont="0" applyFill="0" applyBorder="0" applyAlignment="0" applyProtection="0"/>
    <xf numFmtId="2" fontId="8" fillId="0" borderId="0" applyFont="0" applyFill="0" applyBorder="0" applyAlignment="0" applyProtection="0"/>
    <xf numFmtId="0" fontId="91" fillId="0" borderId="0" applyNumberFormat="0" applyFill="0" applyBorder="0" applyAlignment="0" applyProtection="0"/>
    <xf numFmtId="0" fontId="45" fillId="0" borderId="0" applyNumberFormat="0" applyFill="0" applyBorder="0" applyAlignment="0" applyProtection="0"/>
    <xf numFmtId="194" fontId="42" fillId="0" borderId="0" applyFont="0" applyFill="0" applyBorder="0" applyAlignment="0" applyProtection="0"/>
    <xf numFmtId="3" fontId="92" fillId="17" borderId="23">
      <alignment horizontal="right"/>
    </xf>
    <xf numFmtId="38" fontId="93" fillId="0" borderId="0" applyFont="0" applyFill="0" applyBorder="0" applyAlignment="0" applyProtection="0"/>
    <xf numFmtId="40" fontId="93" fillId="0" borderId="0" applyFont="0" applyFill="0" applyBorder="0" applyAlignment="0" applyProtection="0"/>
    <xf numFmtId="204" fontId="93" fillId="0" borderId="0" applyFont="0" applyFill="0" applyBorder="0" applyAlignment="0" applyProtection="0"/>
    <xf numFmtId="205" fontId="93" fillId="0" borderId="0" applyFont="0" applyFill="0" applyBorder="0" applyAlignment="0" applyProtection="0"/>
    <xf numFmtId="0" fontId="94" fillId="0" borderId="0" applyNumberFormat="0" applyFont="0" applyFill="0" applyAlignment="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206" fontId="85" fillId="0" borderId="0"/>
    <xf numFmtId="194" fontId="42" fillId="0" borderId="0" applyFont="0" applyFill="0" applyBorder="0" applyAlignment="0" applyProtection="0"/>
    <xf numFmtId="0" fontId="96" fillId="0" borderId="0" applyNumberFormat="0" applyFill="0" applyBorder="0" applyAlignment="0" applyProtection="0">
      <alignment vertical="top"/>
      <protection locked="0"/>
    </xf>
    <xf numFmtId="186" fontId="42" fillId="0" borderId="0" applyFont="0" applyFill="0" applyBorder="0" applyAlignment="0" applyProtection="0"/>
    <xf numFmtId="186" fontId="42" fillId="0" borderId="0" applyFont="0" applyFill="0" applyBorder="0" applyAlignment="0" applyProtection="0"/>
    <xf numFmtId="186" fontId="42" fillId="0" borderId="0" applyFont="0" applyFill="0" applyBorder="0" applyAlignment="0" applyProtection="0"/>
    <xf numFmtId="192"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4"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4" fontId="42" fillId="0" borderId="0" applyFont="0" applyFill="0" applyBorder="0" applyAlignment="0" applyProtection="0"/>
    <xf numFmtId="14" fontId="85" fillId="0" borderId="0"/>
    <xf numFmtId="207" fontId="97" fillId="0" borderId="4">
      <alignment horizontal="right" vertical="center"/>
    </xf>
    <xf numFmtId="208" fontId="90" fillId="0" borderId="4">
      <alignment horizontal="right" vertical="center"/>
    </xf>
    <xf numFmtId="209" fontId="85" fillId="0" borderId="23"/>
    <xf numFmtId="210" fontId="97" fillId="0" borderId="4">
      <alignment horizontal="center"/>
    </xf>
    <xf numFmtId="0" fontId="8" fillId="0" borderId="34" applyNumberFormat="0" applyFont="0" applyFill="0" applyAlignment="0" applyProtection="0"/>
    <xf numFmtId="211" fontId="77" fillId="0" borderId="0"/>
    <xf numFmtId="212" fontId="97" fillId="0" borderId="1"/>
    <xf numFmtId="0" fontId="98" fillId="0" borderId="0" applyFont="0" applyFill="0" applyBorder="0" applyAlignment="0" applyProtection="0"/>
    <xf numFmtId="0" fontId="98" fillId="0" borderId="0" applyFont="0" applyFill="0" applyBorder="0" applyAlignment="0" applyProtection="0"/>
    <xf numFmtId="0" fontId="13" fillId="0" borderId="0">
      <alignment vertical="center"/>
    </xf>
    <xf numFmtId="40" fontId="99" fillId="0" borderId="0" applyFont="0" applyFill="0" applyBorder="0" applyAlignment="0" applyProtection="0"/>
    <xf numFmtId="38" fontId="99" fillId="0" borderId="0" applyFont="0" applyFill="0" applyBorder="0" applyAlignment="0" applyProtection="0"/>
    <xf numFmtId="0" fontId="99" fillId="0" borderId="0" applyFont="0" applyFill="0" applyBorder="0" applyAlignment="0" applyProtection="0"/>
    <xf numFmtId="0" fontId="99" fillId="0" borderId="0" applyFont="0" applyFill="0" applyBorder="0" applyAlignment="0" applyProtection="0"/>
    <xf numFmtId="9" fontId="100" fillId="0" borderId="0" applyFont="0" applyFill="0" applyBorder="0" applyAlignment="0" applyProtection="0"/>
    <xf numFmtId="0" fontId="101" fillId="0" borderId="0"/>
    <xf numFmtId="213" fontId="90" fillId="0" borderId="0" applyFont="0" applyFill="0" applyBorder="0" applyAlignment="0" applyProtection="0"/>
    <xf numFmtId="214" fontId="90" fillId="0" borderId="0" applyFont="0" applyFill="0" applyBorder="0" applyAlignment="0" applyProtection="0"/>
    <xf numFmtId="215" fontId="90" fillId="0" borderId="0" applyFont="0" applyFill="0" applyBorder="0" applyAlignment="0" applyProtection="0"/>
    <xf numFmtId="216" fontId="90" fillId="0" borderId="0" applyFont="0" applyFill="0" applyBorder="0" applyAlignment="0" applyProtection="0"/>
    <xf numFmtId="0" fontId="102" fillId="0" borderId="0"/>
    <xf numFmtId="0" fontId="103" fillId="0" borderId="0" applyProtection="0"/>
    <xf numFmtId="191" fontId="104" fillId="0" borderId="0" applyFont="0" applyFill="0" applyBorder="0" applyAlignment="0" applyProtection="0"/>
    <xf numFmtId="40" fontId="105" fillId="0" borderId="0" applyFont="0" applyFill="0" applyBorder="0" applyAlignment="0" applyProtection="0"/>
    <xf numFmtId="187" fontId="104" fillId="0" borderId="0" applyFont="0" applyFill="0" applyBorder="0" applyAlignment="0" applyProtection="0"/>
    <xf numFmtId="204" fontId="105" fillId="0" borderId="0" applyFont="0" applyFill="0" applyBorder="0" applyAlignment="0" applyProtection="0"/>
    <xf numFmtId="217" fontId="104" fillId="0" borderId="0" applyFont="0" applyFill="0" applyBorder="0" applyAlignment="0" applyProtection="0"/>
  </cellStyleXfs>
  <cellXfs count="602">
    <xf numFmtId="0" fontId="0" fillId="0" borderId="0" xfId="0">
      <alignment vertical="center"/>
    </xf>
    <xf numFmtId="0" fontId="3" fillId="0" borderId="0" xfId="0" applyFont="1">
      <alignment vertical="center"/>
    </xf>
    <xf numFmtId="0" fontId="3" fillId="0" borderId="0" xfId="0" applyFont="1" applyAlignment="1">
      <alignment horizontal="center" vertical="center" wrapText="1"/>
    </xf>
    <xf numFmtId="0" fontId="5" fillId="0" borderId="0" xfId="0" applyFont="1" applyAlignment="1">
      <alignment horizontal="left" vertical="top" wrapText="1"/>
    </xf>
    <xf numFmtId="0" fontId="5"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center" vertical="center"/>
    </xf>
    <xf numFmtId="0" fontId="2" fillId="0" borderId="0" xfId="0" applyFo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2" fillId="0" borderId="0" xfId="0" applyFont="1"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7" fillId="0" borderId="0" xfId="0" applyFont="1" applyAlignment="1">
      <alignment horizontal="centerContinuous" vertical="center"/>
    </xf>
    <xf numFmtId="0" fontId="5" fillId="0" borderId="0" xfId="0" applyFont="1" applyAlignment="1">
      <alignment horizontal="centerContinuous"/>
    </xf>
    <xf numFmtId="0" fontId="7" fillId="0" borderId="0" xfId="0" applyFont="1" applyAlignment="1">
      <alignment horizontal="centerContinuous"/>
    </xf>
    <xf numFmtId="0" fontId="5" fillId="0" borderId="0" xfId="0" applyFont="1">
      <alignment vertical="center"/>
    </xf>
    <xf numFmtId="0" fontId="3" fillId="0" borderId="0" xfId="3" applyFont="1" applyAlignment="1" applyProtection="1">
      <alignment horizontal="left" vertical="center"/>
    </xf>
    <xf numFmtId="0" fontId="4" fillId="0" borderId="0" xfId="0" applyFont="1">
      <alignment vertical="center"/>
    </xf>
    <xf numFmtId="0" fontId="5" fillId="0" borderId="0" xfId="0" applyFont="1" applyAlignment="1">
      <alignment horizontal="right"/>
    </xf>
    <xf numFmtId="0" fontId="5" fillId="0" borderId="0" xfId="0" applyFont="1" applyAlignment="1">
      <alignment horizontal="left"/>
    </xf>
    <xf numFmtId="0" fontId="5" fillId="0" borderId="0" xfId="0" applyFont="1" applyBorder="1" applyAlignment="1"/>
    <xf numFmtId="0" fontId="7" fillId="0" borderId="0" xfId="0" applyFont="1" applyBorder="1" applyAlignment="1">
      <alignment horizontal="center" vertical="center" wrapText="1"/>
    </xf>
    <xf numFmtId="0" fontId="5" fillId="0" borderId="0" xfId="0" applyFont="1" applyBorder="1" applyAlignment="1">
      <alignment horizontal="center" vertical="center"/>
    </xf>
    <xf numFmtId="0" fontId="9" fillId="0" borderId="1" xfId="0" applyFont="1" applyBorder="1" applyAlignment="1">
      <alignment horizontal="center" vertical="center" wrapText="1"/>
    </xf>
    <xf numFmtId="0" fontId="10" fillId="0" borderId="1" xfId="3" applyFont="1" applyBorder="1" applyAlignment="1" applyProtection="1">
      <alignment vertical="center"/>
    </xf>
    <xf numFmtId="0" fontId="10" fillId="0" borderId="1" xfId="3" applyFont="1" applyBorder="1" applyAlignment="1" applyProtection="1">
      <alignment horizontal="center" vertical="center"/>
    </xf>
    <xf numFmtId="0" fontId="11" fillId="0" borderId="1" xfId="0" applyFont="1" applyBorder="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vertical="center" wrapText="1"/>
    </xf>
    <xf numFmtId="49" fontId="5" fillId="0" borderId="0" xfId="0" applyNumberFormat="1"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Alignment="1"/>
    <xf numFmtId="0" fontId="4" fillId="0" borderId="0" xfId="0" applyFont="1" applyAlignment="1">
      <alignment horizontal="center" vertical="center"/>
    </xf>
    <xf numFmtId="49" fontId="5" fillId="0" borderId="0" xfId="0" applyNumberFormat="1" applyFont="1" applyFill="1" applyBorder="1" applyAlignment="1">
      <alignment horizontal="right" wrapText="1"/>
    </xf>
    <xf numFmtId="0" fontId="4" fillId="0" borderId="0" xfId="0" applyFont="1" applyAlignment="1">
      <alignment horizontal="centerContinuous" vertical="center"/>
    </xf>
    <xf numFmtId="0" fontId="5" fillId="0" borderId="0" xfId="0" applyFont="1" applyAlignment="1">
      <alignment horizontal="centerContinuous" vertical="center"/>
    </xf>
    <xf numFmtId="0" fontId="5" fillId="0" borderId="2" xfId="0" applyFont="1" applyBorder="1" applyAlignment="1"/>
    <xf numFmtId="0" fontId="4" fillId="0" borderId="1" xfId="0" applyFont="1" applyBorder="1" applyAlignment="1">
      <alignment horizontal="center" vertical="center" wrapText="1"/>
    </xf>
    <xf numFmtId="0" fontId="3" fillId="0" borderId="4" xfId="3" applyFont="1" applyBorder="1" applyAlignment="1" applyProtection="1">
      <alignment horizontal="center" vertical="center" wrapText="1"/>
    </xf>
    <xf numFmtId="0" fontId="4" fillId="0" borderId="1"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Fill="1" applyBorder="1" applyAlignment="1">
      <alignment horizontal="center" vertical="center" wrapText="1"/>
    </xf>
    <xf numFmtId="0" fontId="3" fillId="2" borderId="4" xfId="3" applyFont="1" applyFill="1" applyBorder="1" applyAlignment="1" applyProtection="1">
      <alignment horizontal="center" vertical="center" wrapText="1"/>
    </xf>
    <xf numFmtId="0" fontId="4"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3" applyFont="1" applyBorder="1" applyAlignment="1" applyProtection="1">
      <alignment vertical="center" shrinkToFit="1"/>
    </xf>
    <xf numFmtId="0" fontId="6" fillId="0" borderId="1" xfId="3" applyFont="1" applyBorder="1" applyAlignment="1" applyProtection="1">
      <alignment horizontal="center" vertical="center" shrinkToFit="1"/>
    </xf>
    <xf numFmtId="0" fontId="6" fillId="0" borderId="0" xfId="0" applyFont="1" applyAlignment="1">
      <alignment horizontal="center" vertical="center"/>
    </xf>
    <xf numFmtId="14" fontId="5" fillId="2" borderId="0" xfId="0" applyNumberFormat="1" applyFont="1" applyFill="1">
      <alignment vertical="center"/>
    </xf>
    <xf numFmtId="0" fontId="5" fillId="0" borderId="0" xfId="0" applyFont="1" applyAlignment="1">
      <alignment horizontal="right" vertical="center"/>
    </xf>
    <xf numFmtId="0" fontId="5" fillId="0" borderId="0" xfId="0" applyFont="1" applyBorder="1">
      <alignment vertical="center"/>
    </xf>
    <xf numFmtId="0" fontId="9" fillId="0" borderId="6"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6" fillId="0" borderId="1" xfId="3" applyFont="1" applyBorder="1" applyAlignment="1" applyProtection="1">
      <alignment horizontal="center" vertical="center"/>
    </xf>
    <xf numFmtId="9" fontId="6" fillId="0" borderId="1" xfId="2" applyFont="1" applyBorder="1" applyAlignment="1">
      <alignment horizontal="center" vertical="center"/>
      <protection locked="0"/>
    </xf>
    <xf numFmtId="164" fontId="6" fillId="0" borderId="1" xfId="1" applyNumberFormat="1" applyFont="1" applyBorder="1" applyAlignment="1">
      <alignment horizontal="right" vertical="center"/>
      <protection locked="0"/>
    </xf>
    <xf numFmtId="9" fontId="5" fillId="0" borderId="0" xfId="2" applyFont="1" applyBorder="1" applyAlignment="1" applyProtection="1">
      <alignment horizontal="center" vertical="center"/>
    </xf>
    <xf numFmtId="0" fontId="11" fillId="0" borderId="0" xfId="0" applyFont="1" applyBorder="1" applyAlignment="1">
      <alignment horizontal="center" vertical="center"/>
    </xf>
    <xf numFmtId="0" fontId="5" fillId="0" borderId="7" xfId="0" applyFont="1" applyBorder="1" applyAlignment="1"/>
    <xf numFmtId="0" fontId="0" fillId="0" borderId="7" xfId="0" applyBorder="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centerContinuous"/>
    </xf>
    <xf numFmtId="0" fontId="16" fillId="0" borderId="0" xfId="0" applyFont="1">
      <alignment vertical="center"/>
    </xf>
    <xf numFmtId="0" fontId="17" fillId="0" borderId="0" xfId="0" applyFont="1">
      <alignment vertical="center"/>
    </xf>
    <xf numFmtId="9" fontId="18" fillId="0" borderId="1" xfId="2" applyFont="1" applyBorder="1" applyAlignment="1">
      <alignment horizontal="center" vertical="top"/>
      <protection locked="0"/>
    </xf>
    <xf numFmtId="164" fontId="18" fillId="0" borderId="1" xfId="1" applyNumberFormat="1" applyFont="1" applyBorder="1" applyAlignment="1">
      <alignment horizontal="right" vertical="center"/>
      <protection locked="0"/>
    </xf>
    <xf numFmtId="0" fontId="11" fillId="0" borderId="8" xfId="0" applyFont="1" applyBorder="1" applyAlignment="1">
      <alignment horizontal="center" vertical="center" wrapText="1"/>
    </xf>
    <xf numFmtId="0" fontId="11" fillId="0" borderId="8" xfId="0" applyFont="1" applyBorder="1" applyAlignment="1">
      <alignment vertical="center" wrapText="1"/>
    </xf>
    <xf numFmtId="49" fontId="11" fillId="0" borderId="8" xfId="0" applyNumberFormat="1" applyFont="1" applyBorder="1" applyAlignment="1">
      <alignment horizontal="center" vertical="center"/>
    </xf>
    <xf numFmtId="0" fontId="11" fillId="0" borderId="8" xfId="0" applyFont="1" applyBorder="1" applyAlignment="1">
      <alignment horizontal="center" vertical="center"/>
    </xf>
    <xf numFmtId="0" fontId="19" fillId="0" borderId="0" xfId="0" quotePrefix="1" applyFont="1">
      <alignment vertical="center"/>
    </xf>
    <xf numFmtId="0" fontId="5" fillId="0" borderId="0" xfId="0" applyFont="1" applyAlignment="1">
      <alignment vertical="center"/>
    </xf>
    <xf numFmtId="0" fontId="22" fillId="0" borderId="0" xfId="4" applyFont="1" applyAlignment="1">
      <alignment shrinkToFi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5" fillId="0" borderId="5" xfId="0" applyFont="1" applyBorder="1" applyAlignment="1">
      <alignment horizontal="center" vertical="center"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49" fontId="5" fillId="0" borderId="8" xfId="0" applyNumberFormat="1" applyFont="1" applyBorder="1" applyAlignment="1">
      <alignment horizontal="center" vertical="center"/>
    </xf>
    <xf numFmtId="0" fontId="23" fillId="0" borderId="0" xfId="0" applyFont="1">
      <alignment vertical="center"/>
    </xf>
    <xf numFmtId="0" fontId="24" fillId="0" borderId="0" xfId="0" quotePrefix="1" applyFont="1">
      <alignment vertical="center"/>
    </xf>
    <xf numFmtId="0" fontId="25" fillId="0" borderId="0" xfId="0" applyFont="1" applyAlignment="1">
      <alignment horizontal="center" vertical="center" shrinkToFit="1"/>
    </xf>
    <xf numFmtId="0" fontId="2" fillId="0" borderId="0" xfId="3" applyFont="1" applyAlignment="1" applyProtection="1"/>
    <xf numFmtId="0" fontId="3" fillId="0" borderId="1" xfId="3" applyFont="1" applyBorder="1" applyAlignment="1" applyProtection="1">
      <alignment horizontal="center" vertical="center" wrapText="1"/>
    </xf>
    <xf numFmtId="0" fontId="26" fillId="0" borderId="0" xfId="3" applyFont="1" applyAlignment="1" applyProtection="1">
      <alignment horizontal="centerContinuous" vertical="center"/>
    </xf>
    <xf numFmtId="0" fontId="3" fillId="0" borderId="0" xfId="3" applyFont="1" applyAlignment="1" applyProtection="1">
      <alignment horizontal="centerContinuous" vertical="center"/>
    </xf>
    <xf numFmtId="0" fontId="3" fillId="3" borderId="1" xfId="3" applyFont="1" applyFill="1" applyBorder="1" applyAlignment="1" applyProtection="1">
      <alignment horizontal="center" vertical="center" wrapText="1"/>
    </xf>
    <xf numFmtId="0" fontId="27" fillId="0" borderId="0" xfId="0" applyFont="1" applyAlignment="1">
      <alignment horizontal="center" vertical="center" shrinkToFit="1"/>
    </xf>
    <xf numFmtId="0" fontId="27" fillId="0" borderId="1" xfId="3" applyFont="1" applyBorder="1" applyAlignment="1" applyProtection="1">
      <alignment horizontal="center" vertical="center" wrapText="1"/>
    </xf>
    <xf numFmtId="0" fontId="27" fillId="0" borderId="0" xfId="3" applyFont="1" applyAlignment="1" applyProtection="1"/>
    <xf numFmtId="0" fontId="27" fillId="0" borderId="0" xfId="0" applyFont="1">
      <alignment vertical="center"/>
    </xf>
    <xf numFmtId="0" fontId="28" fillId="0" borderId="1" xfId="3" applyFont="1" applyBorder="1" applyAlignment="1" applyProtection="1">
      <alignment horizontal="center" vertical="center" wrapText="1"/>
    </xf>
    <xf numFmtId="0" fontId="6" fillId="0" borderId="11" xfId="3" applyFont="1" applyBorder="1" applyAlignment="1" applyProtection="1">
      <alignment horizontal="left" vertical="center" shrinkToFit="1"/>
    </xf>
    <xf numFmtId="0" fontId="6" fillId="0" borderId="11" xfId="3" applyFont="1" applyBorder="1" applyAlignment="1" applyProtection="1">
      <alignment horizontal="center" vertical="center" shrinkToFit="1"/>
    </xf>
    <xf numFmtId="165" fontId="6" fillId="0" borderId="11" xfId="3" applyNumberFormat="1" applyFont="1" applyBorder="1" applyAlignment="1" applyProtection="1">
      <alignment horizontal="center" vertical="center" shrinkToFit="1"/>
    </xf>
    <xf numFmtId="14" fontId="6" fillId="0" borderId="11" xfId="3" applyNumberFormat="1" applyFont="1" applyBorder="1" applyAlignment="1" applyProtection="1">
      <alignment horizontal="center" vertical="center" shrinkToFit="1"/>
    </xf>
    <xf numFmtId="0" fontId="2" fillId="0" borderId="0" xfId="3" applyNumberFormat="1" applyFont="1" applyFill="1" applyAlignment="1" applyProtection="1">
      <protection hidden="1"/>
    </xf>
    <xf numFmtId="0" fontId="2" fillId="4" borderId="0" xfId="3" applyNumberFormat="1" applyFont="1" applyFill="1" applyAlignment="1" applyProtection="1">
      <protection hidden="1"/>
    </xf>
    <xf numFmtId="0" fontId="2" fillId="0" borderId="0" xfId="3" applyNumberFormat="1" applyFont="1" applyFill="1" applyAlignment="1" applyProtection="1">
      <protection locked="0" hidden="1"/>
    </xf>
    <xf numFmtId="0" fontId="3" fillId="0" borderId="0" xfId="3" applyNumberFormat="1" applyFont="1" applyFill="1" applyAlignment="1" applyProtection="1">
      <protection hidden="1"/>
    </xf>
    <xf numFmtId="0" fontId="2" fillId="0" borderId="0" xfId="3" applyNumberFormat="1" applyFont="1" applyFill="1" applyAlignment="1" applyProtection="1">
      <alignment horizontal="center"/>
      <protection hidden="1"/>
    </xf>
    <xf numFmtId="3" fontId="2" fillId="0" borderId="0" xfId="3" applyNumberFormat="1" applyFont="1" applyFill="1" applyAlignment="1" applyProtection="1">
      <alignment horizontal="center"/>
      <protection hidden="1"/>
    </xf>
    <xf numFmtId="3" fontId="2" fillId="0" borderId="0" xfId="3" applyNumberFormat="1" applyFont="1" applyFill="1" applyAlignment="1" applyProtection="1">
      <protection hidden="1"/>
    </xf>
    <xf numFmtId="3" fontId="29" fillId="0" borderId="1" xfId="3" applyNumberFormat="1" applyFont="1" applyFill="1" applyBorder="1" applyAlignment="1" applyProtection="1">
      <alignment horizontal="center" vertical="center"/>
      <protection hidden="1"/>
    </xf>
    <xf numFmtId="0" fontId="3" fillId="0" borderId="0" xfId="3" applyNumberFormat="1" applyFont="1" applyFill="1" applyAlignment="1" applyProtection="1">
      <alignment horizontal="center"/>
      <protection hidden="1"/>
    </xf>
    <xf numFmtId="0" fontId="29" fillId="2" borderId="1" xfId="3" applyNumberFormat="1" applyFont="1" applyFill="1" applyBorder="1" applyAlignment="1" applyProtection="1">
      <alignment horizontal="center" vertical="center"/>
      <protection hidden="1"/>
    </xf>
    <xf numFmtId="0" fontId="29" fillId="2" borderId="1" xfId="3" applyNumberFormat="1" applyFont="1" applyFill="1" applyBorder="1" applyAlignment="1" applyProtection="1">
      <alignment horizontal="center" vertical="center" wrapText="1"/>
      <protection hidden="1"/>
    </xf>
    <xf numFmtId="0" fontId="29" fillId="2" borderId="11" xfId="3" applyNumberFormat="1" applyFont="1" applyFill="1" applyBorder="1" applyAlignment="1" applyProtection="1">
      <alignment horizontal="center" vertical="center" wrapText="1"/>
      <protection hidden="1"/>
    </xf>
    <xf numFmtId="3" fontId="29" fillId="2" borderId="4" xfId="3" applyNumberFormat="1" applyFont="1" applyFill="1" applyBorder="1" applyAlignment="1" applyProtection="1">
      <alignment horizontal="center" vertical="center"/>
      <protection hidden="1"/>
    </xf>
    <xf numFmtId="0" fontId="3" fillId="0" borderId="1" xfId="3" applyNumberFormat="1" applyFont="1" applyFill="1" applyBorder="1" applyAlignment="1" applyProtection="1">
      <alignment horizontal="center" vertical="center" wrapText="1"/>
      <protection hidden="1"/>
    </xf>
    <xf numFmtId="0" fontId="3" fillId="0" borderId="1" xfId="3" applyNumberFormat="1" applyFont="1" applyFill="1" applyBorder="1" applyAlignment="1" applyProtection="1">
      <alignment horizontal="center" vertical="center"/>
      <protection hidden="1"/>
    </xf>
    <xf numFmtId="0" fontId="13" fillId="0" borderId="1" xfId="3" applyNumberFormat="1" applyFont="1" applyFill="1" applyBorder="1" applyAlignment="1" applyProtection="1">
      <alignment horizontal="center" vertical="center"/>
      <protection hidden="1"/>
    </xf>
    <xf numFmtId="1" fontId="6" fillId="0" borderId="1" xfId="3" applyNumberFormat="1" applyFont="1" applyBorder="1" applyAlignment="1" applyProtection="1">
      <alignment horizontal="center" vertical="center" shrinkToFit="1"/>
    </xf>
    <xf numFmtId="165" fontId="6" fillId="0" borderId="1" xfId="3" applyNumberFormat="1" applyFont="1" applyBorder="1" applyAlignment="1" applyProtection="1">
      <alignment horizontal="center" vertical="center" shrinkToFit="1"/>
    </xf>
    <xf numFmtId="166" fontId="6" fillId="0" borderId="1" xfId="3" applyNumberFormat="1" applyFont="1" applyBorder="1" applyAlignment="1" applyProtection="1">
      <alignment horizontal="center" vertical="center" shrinkToFit="1"/>
    </xf>
    <xf numFmtId="2" fontId="6" fillId="0" borderId="1" xfId="3" applyNumberFormat="1" applyFont="1" applyBorder="1" applyAlignment="1" applyProtection="1">
      <alignment horizontal="center" vertical="center" shrinkToFit="1"/>
    </xf>
    <xf numFmtId="0" fontId="3" fillId="0" borderId="0" xfId="3" applyNumberFormat="1" applyFont="1" applyFill="1" applyBorder="1" applyAlignment="1" applyProtection="1">
      <alignment horizontal="center"/>
      <protection hidden="1"/>
    </xf>
    <xf numFmtId="0" fontId="3" fillId="0" borderId="0" xfId="3" applyNumberFormat="1" applyFont="1" applyFill="1" applyBorder="1" applyAlignment="1" applyProtection="1">
      <alignment horizontal="center" vertical="center" wrapText="1"/>
      <protection hidden="1"/>
    </xf>
    <xf numFmtId="0" fontId="3" fillId="0" borderId="0" xfId="3" applyNumberFormat="1" applyFont="1" applyFill="1" applyBorder="1" applyAlignment="1" applyProtection="1">
      <alignment horizontal="center" vertical="center"/>
      <protection hidden="1"/>
    </xf>
    <xf numFmtId="0" fontId="2" fillId="0" borderId="1" xfId="3" applyFont="1" applyBorder="1" applyAlignment="1" applyProtection="1">
      <alignment horizontal="left" vertical="center" wrapText="1"/>
    </xf>
    <xf numFmtId="0" fontId="2" fillId="0" borderId="1" xfId="3" applyFont="1" applyBorder="1" applyAlignment="1" applyProtection="1">
      <alignment horizontal="center" vertical="center" wrapText="1"/>
    </xf>
    <xf numFmtId="0" fontId="2" fillId="0" borderId="4" xfId="3" quotePrefix="1" applyFont="1" applyBorder="1" applyAlignment="1" applyProtection="1">
      <alignment vertical="center" wrapText="1"/>
    </xf>
    <xf numFmtId="14" fontId="2" fillId="0" borderId="4" xfId="3" applyNumberFormat="1" applyFont="1" applyBorder="1" applyAlignment="1" applyProtection="1">
      <alignment vertical="center" wrapText="1"/>
    </xf>
    <xf numFmtId="0" fontId="2" fillId="0" borderId="0" xfId="3" applyFont="1" applyBorder="1" applyAlignment="1" applyProtection="1">
      <alignment horizontal="left" vertical="center" wrapText="1"/>
    </xf>
    <xf numFmtId="0" fontId="2" fillId="0" borderId="0" xfId="3" applyFont="1" applyBorder="1" applyAlignment="1" applyProtection="1">
      <alignment horizontal="center" vertical="center" wrapText="1"/>
    </xf>
    <xf numFmtId="0" fontId="2" fillId="0" borderId="0" xfId="3" quotePrefix="1" applyFont="1" applyBorder="1" applyAlignment="1" applyProtection="1">
      <alignment vertical="center" wrapText="1"/>
    </xf>
    <xf numFmtId="14" fontId="2" fillId="0" borderId="0" xfId="3" applyNumberFormat="1" applyFont="1" applyBorder="1" applyAlignment="1" applyProtection="1">
      <alignment vertical="center" wrapText="1"/>
    </xf>
    <xf numFmtId="0" fontId="2" fillId="0" borderId="0" xfId="3" applyNumberFormat="1" applyFont="1" applyFill="1" applyBorder="1" applyAlignment="1" applyProtection="1">
      <alignment horizontal="center" vertical="center"/>
      <protection hidden="1"/>
    </xf>
    <xf numFmtId="0" fontId="2" fillId="0" borderId="0" xfId="3" quotePrefix="1" applyFont="1" applyBorder="1" applyAlignment="1" applyProtection="1">
      <alignment horizontal="center" vertical="center" wrapText="1"/>
    </xf>
    <xf numFmtId="14" fontId="2" fillId="0" borderId="0" xfId="3" applyNumberFormat="1" applyFont="1" applyBorder="1" applyAlignment="1" applyProtection="1">
      <alignment horizontal="center" vertical="center" wrapText="1"/>
    </xf>
    <xf numFmtId="0" fontId="2" fillId="0" borderId="0" xfId="3" applyNumberFormat="1" applyFont="1" applyFill="1" applyBorder="1" applyAlignment="1" applyProtection="1">
      <protection hidden="1"/>
    </xf>
    <xf numFmtId="0" fontId="2" fillId="0" borderId="3" xfId="3" applyNumberFormat="1" applyFont="1" applyFill="1" applyBorder="1" applyAlignment="1" applyProtection="1">
      <protection hidden="1"/>
    </xf>
    <xf numFmtId="167" fontId="2" fillId="0" borderId="0" xfId="3" applyNumberFormat="1" applyFont="1" applyFill="1" applyAlignment="1" applyProtection="1">
      <protection hidden="1"/>
    </xf>
    <xf numFmtId="0" fontId="2" fillId="4" borderId="0" xfId="3" applyNumberFormat="1" applyFont="1" applyFill="1" applyAlignment="1" applyProtection="1">
      <alignment horizontal="center"/>
      <protection hidden="1"/>
    </xf>
    <xf numFmtId="3" fontId="2" fillId="4" borderId="0" xfId="3" applyNumberFormat="1" applyFont="1" applyFill="1" applyAlignment="1" applyProtection="1">
      <alignment horizontal="center"/>
      <protection hidden="1"/>
    </xf>
    <xf numFmtId="3" fontId="2" fillId="4" borderId="0" xfId="3" applyNumberFormat="1" applyFont="1" applyFill="1" applyAlignment="1" applyProtection="1">
      <protection hidden="1"/>
    </xf>
    <xf numFmtId="0" fontId="31" fillId="0" borderId="0" xfId="5" applyFont="1" applyFill="1" applyAlignment="1">
      <alignment shrinkToFit="1"/>
    </xf>
    <xf numFmtId="0" fontId="13" fillId="0" borderId="0" xfId="5" applyFont="1" applyFill="1"/>
    <xf numFmtId="0" fontId="32" fillId="0" borderId="0" xfId="5" applyFont="1" applyFill="1" applyAlignment="1">
      <alignment shrinkToFit="1"/>
    </xf>
    <xf numFmtId="0" fontId="3" fillId="0" borderId="0" xfId="5" applyFont="1" applyFill="1"/>
    <xf numFmtId="0" fontId="33" fillId="0" borderId="0" xfId="5" applyFont="1" applyFill="1" applyAlignment="1">
      <alignment shrinkToFit="1"/>
    </xf>
    <xf numFmtId="0" fontId="34" fillId="0" borderId="0" xfId="5" applyFont="1" applyFill="1"/>
    <xf numFmtId="0" fontId="33" fillId="0" borderId="0" xfId="5" applyFont="1" applyFill="1" applyBorder="1" applyAlignment="1">
      <alignment shrinkToFit="1"/>
    </xf>
    <xf numFmtId="0" fontId="26" fillId="0" borderId="0" xfId="5" applyFont="1" applyFill="1" applyBorder="1" applyAlignment="1">
      <alignment vertical="top" wrapText="1"/>
    </xf>
    <xf numFmtId="0" fontId="34" fillId="0" borderId="0" xfId="5" applyFont="1" applyFill="1" applyBorder="1"/>
    <xf numFmtId="0" fontId="16" fillId="0" borderId="0" xfId="5" applyFont="1" applyFill="1" applyAlignment="1">
      <alignment horizontal="center"/>
    </xf>
    <xf numFmtId="0" fontId="3" fillId="0" borderId="1" xfId="5" applyNumberFormat="1" applyFont="1" applyFill="1" applyBorder="1" applyAlignment="1">
      <alignment horizontal="center" vertical="center"/>
    </xf>
    <xf numFmtId="0" fontId="3" fillId="0" borderId="11" xfId="5" applyNumberFormat="1" applyFont="1" applyFill="1" applyBorder="1" applyAlignment="1">
      <alignment horizontal="center" vertical="center"/>
    </xf>
    <xf numFmtId="0" fontId="3" fillId="0" borderId="16" xfId="5" applyNumberFormat="1" applyFont="1" applyFill="1" applyBorder="1" applyAlignment="1">
      <alignment horizontal="center" vertical="center" wrapText="1"/>
    </xf>
    <xf numFmtId="0" fontId="28" fillId="0" borderId="11" xfId="3" applyFont="1" applyBorder="1" applyAlignment="1" applyProtection="1">
      <alignment horizontal="center" vertical="center" shrinkToFit="1"/>
    </xf>
    <xf numFmtId="43" fontId="5" fillId="0" borderId="1" xfId="1" applyBorder="1" applyAlignment="1">
      <alignment vertical="center"/>
      <protection locked="0"/>
    </xf>
    <xf numFmtId="43" fontId="5" fillId="0" borderId="1" xfId="1" applyBorder="1" applyAlignment="1">
      <alignment horizontal="right" vertical="center"/>
      <protection locked="0"/>
    </xf>
    <xf numFmtId="0" fontId="26" fillId="0" borderId="16" xfId="5" applyNumberFormat="1" applyFont="1" applyFill="1" applyBorder="1" applyAlignment="1">
      <alignment horizontal="center" vertical="center" wrapText="1"/>
    </xf>
    <xf numFmtId="0" fontId="35" fillId="0" borderId="0" xfId="5" applyFont="1" applyFill="1"/>
    <xf numFmtId="165" fontId="2" fillId="0" borderId="1" xfId="6" quotePrefix="1" applyNumberFormat="1" applyFont="1" applyBorder="1" applyAlignment="1">
      <alignment horizontal="center" vertical="center" wrapText="1"/>
    </xf>
    <xf numFmtId="14" fontId="2" fillId="0" borderId="1" xfId="6" applyNumberFormat="1" applyFont="1" applyBorder="1" applyAlignment="1">
      <alignment horizontal="center" vertical="center" wrapText="1"/>
    </xf>
    <xf numFmtId="0" fontId="2" fillId="0" borderId="1" xfId="6" applyFont="1" applyBorder="1" applyAlignment="1">
      <alignment horizontal="center" vertical="center"/>
    </xf>
    <xf numFmtId="0" fontId="2" fillId="0" borderId="1" xfId="6" applyNumberFormat="1" applyFont="1" applyBorder="1" applyAlignment="1">
      <alignment horizontal="center" vertical="center" wrapText="1"/>
    </xf>
    <xf numFmtId="168" fontId="26" fillId="0" borderId="1" xfId="7" applyNumberFormat="1" applyFont="1" applyFill="1" applyBorder="1" applyAlignment="1">
      <alignment horizontal="right" vertical="center"/>
    </xf>
    <xf numFmtId="43" fontId="4" fillId="0" borderId="1" xfId="1" applyFont="1" applyBorder="1" applyAlignment="1">
      <alignment horizontal="right" vertical="center"/>
      <protection locked="0"/>
    </xf>
    <xf numFmtId="0" fontId="26" fillId="0" borderId="0" xfId="5" applyFont="1" applyFill="1"/>
    <xf numFmtId="0" fontId="36" fillId="0" borderId="0" xfId="5" applyFont="1" applyFill="1" applyBorder="1" applyAlignment="1">
      <alignment horizontal="center"/>
    </xf>
    <xf numFmtId="0" fontId="3" fillId="0" borderId="0" xfId="5" applyFont="1" applyFill="1" applyBorder="1" applyAlignment="1">
      <alignment vertical="center" wrapText="1"/>
    </xf>
    <xf numFmtId="0" fontId="30" fillId="0" borderId="0" xfId="5" applyBorder="1" applyAlignment="1"/>
    <xf numFmtId="0" fontId="38" fillId="0" borderId="0" xfId="5" applyFont="1" applyFill="1" applyAlignment="1">
      <alignment shrinkToFit="1"/>
    </xf>
    <xf numFmtId="0" fontId="39" fillId="0" borderId="0" xfId="5" applyFont="1" applyFill="1"/>
    <xf numFmtId="0" fontId="0" fillId="0" borderId="0" xfId="0" applyAlignment="1">
      <alignment vertical="center" wrapText="1"/>
    </xf>
    <xf numFmtId="0" fontId="3" fillId="0" borderId="0" xfId="0" applyFont="1" applyAlignment="1">
      <alignment horizontal="center" vertical="center"/>
    </xf>
    <xf numFmtId="0" fontId="0" fillId="0" borderId="0" xfId="0" applyFont="1">
      <alignment vertical="center"/>
    </xf>
    <xf numFmtId="49" fontId="55" fillId="0" borderId="11" xfId="0" applyNumberFormat="1" applyFont="1" applyBorder="1" applyAlignment="1">
      <alignment vertical="center"/>
    </xf>
    <xf numFmtId="0" fontId="55" fillId="0" borderId="11" xfId="0" applyFont="1" applyBorder="1" applyAlignment="1">
      <alignment vertical="center"/>
    </xf>
    <xf numFmtId="0" fontId="55" fillId="0" borderId="1" xfId="0" applyFont="1" applyBorder="1" applyAlignment="1">
      <alignment horizontal="center" vertical="center"/>
    </xf>
    <xf numFmtId="0" fontId="55" fillId="0" borderId="11" xfId="0" applyFont="1" applyFill="1" applyBorder="1" applyAlignment="1">
      <alignment vertical="center"/>
    </xf>
    <xf numFmtId="49" fontId="56" fillId="0" borderId="23" xfId="15" applyNumberFormat="1" applyFont="1" applyBorder="1" applyAlignment="1" applyProtection="1">
      <alignment horizontal="center" vertical="center"/>
      <protection hidden="1"/>
    </xf>
    <xf numFmtId="0" fontId="56" fillId="0" borderId="24" xfId="43" applyFont="1" applyBorder="1" applyAlignment="1">
      <alignment horizontal="left" vertical="center"/>
    </xf>
    <xf numFmtId="0" fontId="56" fillId="0" borderId="24" xfId="43" applyFont="1" applyBorder="1" applyAlignment="1">
      <alignment horizontal="center" vertical="center"/>
    </xf>
    <xf numFmtId="0" fontId="56" fillId="0" borderId="25" xfId="15" applyNumberFormat="1" applyFont="1" applyFill="1" applyBorder="1" applyAlignment="1">
      <alignment horizontal="center" vertical="center"/>
    </xf>
    <xf numFmtId="3" fontId="56" fillId="0" borderId="24" xfId="15" applyNumberFormat="1" applyFont="1" applyFill="1" applyBorder="1" applyAlignment="1">
      <alignment horizontal="center" vertical="center"/>
    </xf>
    <xf numFmtId="0" fontId="56" fillId="0" borderId="24" xfId="15" quotePrefix="1" applyNumberFormat="1" applyFont="1" applyFill="1" applyBorder="1" applyAlignment="1">
      <alignment horizontal="center" vertical="center"/>
    </xf>
    <xf numFmtId="170" fontId="56" fillId="0" borderId="24" xfId="15" applyNumberFormat="1" applyFont="1" applyBorder="1" applyAlignment="1">
      <alignment horizontal="center" vertical="center"/>
    </xf>
    <xf numFmtId="171" fontId="56" fillId="0" borderId="24" xfId="15" applyNumberFormat="1" applyFont="1" applyBorder="1" applyAlignment="1">
      <alignment horizontal="center" vertical="center"/>
    </xf>
    <xf numFmtId="0" fontId="56" fillId="0" borderId="24" xfId="15" applyNumberFormat="1" applyFont="1" applyFill="1" applyBorder="1" applyAlignment="1">
      <alignment horizontal="center" vertical="center" wrapText="1"/>
    </xf>
    <xf numFmtId="49" fontId="57" fillId="0" borderId="23" xfId="15" applyNumberFormat="1" applyFont="1" applyBorder="1" applyAlignment="1" applyProtection="1">
      <alignment horizontal="center" vertical="center"/>
      <protection hidden="1"/>
    </xf>
    <xf numFmtId="0" fontId="57" fillId="0" borderId="23" xfId="43" applyFont="1" applyBorder="1" applyAlignment="1">
      <alignment horizontal="left" vertical="center"/>
    </xf>
    <xf numFmtId="0" fontId="57" fillId="0" borderId="23" xfId="43" applyFont="1" applyBorder="1" applyAlignment="1">
      <alignment horizontal="center" vertical="center"/>
    </xf>
    <xf numFmtId="0" fontId="57" fillId="0" borderId="23" xfId="15" applyNumberFormat="1" applyFont="1" applyFill="1" applyBorder="1" applyAlignment="1">
      <alignment horizontal="center" vertical="center"/>
    </xf>
    <xf numFmtId="3" fontId="57" fillId="0" borderId="24" xfId="15" applyNumberFormat="1" applyFont="1" applyFill="1" applyBorder="1" applyAlignment="1">
      <alignment horizontal="center" vertical="center"/>
    </xf>
    <xf numFmtId="0" fontId="56" fillId="0" borderId="23" xfId="15" applyNumberFormat="1" applyFont="1" applyFill="1" applyBorder="1" applyAlignment="1">
      <alignment horizontal="center" vertical="center"/>
    </xf>
    <xf numFmtId="171" fontId="57" fillId="0" borderId="24" xfId="15" applyNumberFormat="1" applyFont="1" applyBorder="1" applyAlignment="1">
      <alignment horizontal="center" vertical="center"/>
    </xf>
    <xf numFmtId="0" fontId="56" fillId="0" borderId="0" xfId="43" applyFont="1" applyAlignment="1">
      <alignment horizontal="left" vertical="center"/>
    </xf>
    <xf numFmtId="0" fontId="56" fillId="0" borderId="23" xfId="43" applyFont="1" applyBorder="1" applyAlignment="1">
      <alignment horizontal="center" vertical="center"/>
    </xf>
    <xf numFmtId="0" fontId="58" fillId="0" borderId="24" xfId="15" applyNumberFormat="1" applyFont="1" applyFill="1" applyBorder="1" applyAlignment="1">
      <alignment horizontal="center" vertical="center"/>
    </xf>
    <xf numFmtId="0" fontId="56" fillId="0" borderId="23" xfId="43" applyFont="1" applyBorder="1" applyAlignment="1">
      <alignment horizontal="left" vertical="center"/>
    </xf>
    <xf numFmtId="0" fontId="0" fillId="0" borderId="0" xfId="0" applyFont="1" applyAlignment="1">
      <alignment vertical="center" wrapText="1"/>
    </xf>
    <xf numFmtId="0" fontId="57" fillId="0" borderId="25" xfId="15" applyNumberFormat="1" applyFont="1" applyFill="1" applyBorder="1" applyAlignment="1">
      <alignment horizontal="center" vertical="center"/>
    </xf>
    <xf numFmtId="0" fontId="57" fillId="0" borderId="23" xfId="15" quotePrefix="1" applyNumberFormat="1" applyFont="1" applyFill="1" applyBorder="1" applyAlignment="1">
      <alignment horizontal="center" vertical="center"/>
    </xf>
    <xf numFmtId="170" fontId="57" fillId="0" borderId="24" xfId="15" applyNumberFormat="1" applyFont="1" applyBorder="1" applyAlignment="1">
      <alignment horizontal="center" vertical="center"/>
    </xf>
    <xf numFmtId="0" fontId="56" fillId="0" borderId="23" xfId="15" quotePrefix="1" applyNumberFormat="1" applyFont="1" applyFill="1" applyBorder="1" applyAlignment="1">
      <alignment horizontal="center" vertical="center"/>
    </xf>
    <xf numFmtId="3" fontId="56" fillId="0" borderId="23" xfId="15" applyNumberFormat="1" applyFont="1" applyFill="1" applyBorder="1" applyAlignment="1">
      <alignment horizontal="center" vertical="center"/>
    </xf>
    <xf numFmtId="0" fontId="56" fillId="0" borderId="23" xfId="15" applyNumberFormat="1" applyFont="1" applyFill="1" applyBorder="1" applyAlignment="1">
      <alignment horizontal="center" vertical="center" wrapText="1"/>
    </xf>
    <xf numFmtId="3" fontId="0" fillId="0" borderId="0" xfId="0" applyNumberFormat="1" applyFont="1">
      <alignment vertical="center"/>
    </xf>
    <xf numFmtId="4" fontId="0" fillId="0" borderId="0" xfId="0" applyNumberFormat="1" applyFont="1">
      <alignment vertical="center"/>
    </xf>
    <xf numFmtId="43" fontId="57" fillId="2" borderId="24" xfId="15" applyFont="1" applyFill="1" applyBorder="1" applyAlignment="1">
      <alignment horizontal="center" vertical="center"/>
    </xf>
    <xf numFmtId="43" fontId="56" fillId="0" borderId="24" xfId="15" applyFont="1" applyFill="1" applyBorder="1" applyAlignment="1">
      <alignment horizontal="center" vertical="center"/>
    </xf>
    <xf numFmtId="172" fontId="56" fillId="0" borderId="24" xfId="15" applyNumberFormat="1" applyFont="1" applyFill="1" applyBorder="1" applyAlignment="1">
      <alignment horizontal="center" vertical="center"/>
    </xf>
    <xf numFmtId="0" fontId="56" fillId="0" borderId="24" xfId="15" applyNumberFormat="1" applyFont="1" applyFill="1" applyBorder="1" applyAlignment="1">
      <alignment horizontal="center" vertical="center"/>
    </xf>
    <xf numFmtId="1" fontId="56" fillId="0" borderId="24" xfId="15" applyNumberFormat="1" applyFont="1" applyBorder="1" applyAlignment="1">
      <alignment horizontal="center" vertical="center"/>
    </xf>
    <xf numFmtId="43" fontId="57" fillId="0" borderId="25" xfId="15" applyFont="1" applyFill="1" applyBorder="1" applyAlignment="1">
      <alignment horizontal="center" vertical="center"/>
    </xf>
    <xf numFmtId="43" fontId="56" fillId="0" borderId="25" xfId="15" applyFont="1" applyFill="1" applyBorder="1" applyAlignment="1">
      <alignment horizontal="center" vertical="center"/>
    </xf>
    <xf numFmtId="49" fontId="57" fillId="2" borderId="23" xfId="15" applyNumberFormat="1" applyFont="1" applyFill="1" applyBorder="1" applyAlignment="1" applyProtection="1">
      <alignment horizontal="center" vertical="center"/>
      <protection hidden="1"/>
    </xf>
    <xf numFmtId="0" fontId="57" fillId="2" borderId="23" xfId="43" applyFont="1" applyFill="1" applyBorder="1" applyAlignment="1">
      <alignment horizontal="left" vertical="center"/>
    </xf>
    <xf numFmtId="0" fontId="57" fillId="2" borderId="23" xfId="43" applyFont="1" applyFill="1" applyBorder="1" applyAlignment="1">
      <alignment horizontal="center" vertical="center"/>
    </xf>
    <xf numFmtId="0" fontId="57" fillId="2" borderId="25" xfId="15" applyNumberFormat="1" applyFont="1" applyFill="1" applyBorder="1" applyAlignment="1">
      <alignment horizontal="center" vertical="center"/>
    </xf>
    <xf numFmtId="3" fontId="57" fillId="2" borderId="24" xfId="15" applyNumberFormat="1" applyFont="1" applyFill="1" applyBorder="1" applyAlignment="1">
      <alignment horizontal="center" vertical="center"/>
    </xf>
    <xf numFmtId="0" fontId="56" fillId="2" borderId="23" xfId="15" applyNumberFormat="1" applyFont="1" applyFill="1" applyBorder="1" applyAlignment="1">
      <alignment horizontal="center" vertical="center" wrapText="1"/>
    </xf>
    <xf numFmtId="0" fontId="56" fillId="0" borderId="23" xfId="43" applyFont="1" applyBorder="1" applyAlignment="1">
      <alignment horizontal="left" vertical="center" wrapText="1"/>
    </xf>
    <xf numFmtId="164" fontId="56" fillId="0" borderId="25" xfId="15" applyNumberFormat="1" applyFont="1" applyFill="1" applyBorder="1" applyAlignment="1">
      <alignment horizontal="center" vertical="center"/>
    </xf>
    <xf numFmtId="170" fontId="56" fillId="0" borderId="23" xfId="15" applyNumberFormat="1" applyFont="1" applyBorder="1" applyAlignment="1">
      <alignment horizontal="center" vertical="center"/>
    </xf>
    <xf numFmtId="171" fontId="56" fillId="0" borderId="23" xfId="15" applyNumberFormat="1" applyFont="1" applyBorder="1" applyAlignment="1">
      <alignment horizontal="center" vertical="center"/>
    </xf>
    <xf numFmtId="0" fontId="57" fillId="0" borderId="23" xfId="43" applyFont="1" applyBorder="1" applyAlignment="1">
      <alignment horizontal="left" vertical="center" wrapText="1"/>
    </xf>
    <xf numFmtId="0" fontId="57" fillId="0" borderId="24" xfId="15" quotePrefix="1" applyNumberFormat="1" applyFont="1" applyFill="1" applyBorder="1" applyAlignment="1">
      <alignment horizontal="center" vertical="center"/>
    </xf>
    <xf numFmtId="49" fontId="56" fillId="0" borderId="26" xfId="15" applyNumberFormat="1" applyFont="1" applyBorder="1" applyAlignment="1" applyProtection="1">
      <alignment horizontal="center" vertical="center"/>
      <protection hidden="1"/>
    </xf>
    <xf numFmtId="0" fontId="56" fillId="0" borderId="26" xfId="43" applyFont="1" applyBorder="1" applyAlignment="1">
      <alignment horizontal="left" vertical="center" wrapText="1"/>
    </xf>
    <xf numFmtId="0" fontId="56" fillId="0" borderId="26" xfId="43" applyFont="1" applyBorder="1" applyAlignment="1">
      <alignment horizontal="center" vertical="center"/>
    </xf>
    <xf numFmtId="0" fontId="56" fillId="0" borderId="26" xfId="15" applyNumberFormat="1" applyFont="1" applyFill="1" applyBorder="1" applyAlignment="1">
      <alignment horizontal="center" vertical="center"/>
    </xf>
    <xf numFmtId="3" fontId="56" fillId="0" borderId="26" xfId="15" applyNumberFormat="1" applyFont="1" applyFill="1" applyBorder="1" applyAlignment="1">
      <alignment horizontal="center" vertical="center"/>
    </xf>
    <xf numFmtId="0" fontId="56" fillId="0" borderId="26" xfId="15" quotePrefix="1" applyNumberFormat="1" applyFont="1" applyFill="1" applyBorder="1" applyAlignment="1">
      <alignment horizontal="center" vertical="center"/>
    </xf>
    <xf numFmtId="170" fontId="56" fillId="0" borderId="11" xfId="15" applyNumberFormat="1" applyFont="1" applyBorder="1" applyAlignment="1">
      <alignment horizontal="center" vertical="center"/>
    </xf>
    <xf numFmtId="171" fontId="56" fillId="0" borderId="11" xfId="15" applyNumberFormat="1" applyFont="1" applyBorder="1" applyAlignment="1">
      <alignment horizontal="center" vertical="center"/>
    </xf>
    <xf numFmtId="49" fontId="55" fillId="0" borderId="5" xfId="0" applyNumberFormat="1" applyFont="1" applyBorder="1" applyAlignment="1">
      <alignment horizontal="center" vertical="center"/>
    </xf>
    <xf numFmtId="0" fontId="55" fillId="0" borderId="5" xfId="0" applyFont="1" applyBorder="1" applyAlignment="1">
      <alignment horizontal="center" vertical="center"/>
    </xf>
    <xf numFmtId="0" fontId="55" fillId="0" borderId="5"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right" vertical="center"/>
    </xf>
    <xf numFmtId="0" fontId="7"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justify" vertical="center"/>
    </xf>
    <xf numFmtId="0" fontId="5" fillId="0" borderId="0" xfId="0" applyFont="1" applyAlignment="1">
      <alignment horizontal="justify"/>
    </xf>
    <xf numFmtId="0" fontId="55" fillId="0" borderId="4" xfId="0" applyFont="1" applyBorder="1" applyAlignment="1">
      <alignment horizontal="center" vertical="center"/>
    </xf>
    <xf numFmtId="0" fontId="55" fillId="0" borderId="9" xfId="0" applyFont="1" applyBorder="1" applyAlignment="1">
      <alignment horizontal="center" vertical="center"/>
    </xf>
    <xf numFmtId="0" fontId="3" fillId="0" borderId="0" xfId="3" applyFont="1" applyAlignment="1" applyProtection="1">
      <alignment horizontal="left" vertical="center" wrapText="1"/>
    </xf>
    <xf numFmtId="0" fontId="7" fillId="2" borderId="0" xfId="0" applyFont="1" applyFill="1" applyAlignment="1">
      <alignment horizontal="center"/>
    </xf>
    <xf numFmtId="0" fontId="5" fillId="0" borderId="0" xfId="0" applyFont="1" applyAlignment="1">
      <alignment horizontal="left" vertical="center" wrapText="1"/>
    </xf>
    <xf numFmtId="0" fontId="5" fillId="0" borderId="0" xfId="0" applyFont="1" applyAlignment="1">
      <alignment horizontal="left" wrapText="1"/>
    </xf>
    <xf numFmtId="0" fontId="5" fillId="0" borderId="3" xfId="0" applyFont="1" applyBorder="1" applyAlignment="1">
      <alignment vertical="center"/>
    </xf>
    <xf numFmtId="0" fontId="5" fillId="0" borderId="3" xfId="0" applyFont="1" applyBorder="1" applyAlignment="1"/>
    <xf numFmtId="0" fontId="4" fillId="0" borderId="0" xfId="0" applyFont="1" applyAlignment="1">
      <alignment horizontal="center" vertical="center"/>
    </xf>
    <xf numFmtId="0" fontId="4" fillId="0" borderId="0" xfId="0" applyFont="1" applyAlignment="1">
      <alignment horizontal="left" vertical="center" wrapText="1"/>
    </xf>
    <xf numFmtId="0" fontId="3" fillId="0" borderId="0" xfId="3" applyFont="1" applyAlignment="1" applyProtection="1">
      <alignment horizontal="center" vertical="center"/>
    </xf>
    <xf numFmtId="0" fontId="3" fillId="0" borderId="3" xfId="3" applyFont="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4" xfId="3" applyFont="1" applyBorder="1" applyAlignment="1" applyProtection="1">
      <alignment horizontal="center" vertical="center" wrapText="1"/>
    </xf>
    <xf numFmtId="0" fontId="3" fillId="0" borderId="9" xfId="3" applyFont="1" applyBorder="1" applyAlignment="1" applyProtection="1">
      <alignment horizontal="center" vertical="center" wrapText="1"/>
    </xf>
    <xf numFmtId="0" fontId="3" fillId="0" borderId="10" xfId="3" applyFont="1" applyBorder="1" applyAlignment="1" applyProtection="1">
      <alignment horizontal="center" vertical="center" wrapText="1"/>
    </xf>
    <xf numFmtId="0" fontId="3" fillId="0" borderId="5" xfId="3" applyFont="1" applyBorder="1" applyAlignment="1" applyProtection="1">
      <alignment horizontal="center" vertical="center" wrapText="1"/>
    </xf>
    <xf numFmtId="0" fontId="3" fillId="0" borderId="11" xfId="3" applyFont="1" applyBorder="1" applyAlignment="1" applyProtection="1">
      <alignment horizontal="center" vertical="center" wrapText="1"/>
    </xf>
    <xf numFmtId="0" fontId="3" fillId="0" borderId="1" xfId="3" applyNumberFormat="1" applyFont="1" applyFill="1" applyBorder="1" applyAlignment="1" applyProtection="1">
      <alignment horizontal="center" vertical="center" wrapText="1"/>
      <protection hidden="1"/>
    </xf>
    <xf numFmtId="0" fontId="3" fillId="0" borderId="1" xfId="3" applyNumberFormat="1" applyFont="1" applyFill="1" applyBorder="1" applyAlignment="1" applyProtection="1">
      <alignment horizontal="center" vertical="center"/>
      <protection hidden="1"/>
    </xf>
    <xf numFmtId="0" fontId="3" fillId="0" borderId="0" xfId="3" applyNumberFormat="1" applyFont="1" applyFill="1" applyAlignment="1" applyProtection="1">
      <alignment horizontal="center" vertical="center" wrapText="1"/>
      <protection hidden="1"/>
    </xf>
    <xf numFmtId="3" fontId="3" fillId="0" borderId="3" xfId="3" applyNumberFormat="1" applyFont="1" applyFill="1" applyBorder="1" applyAlignment="1" applyProtection="1">
      <alignment horizontal="center" vertical="center"/>
      <protection hidden="1"/>
    </xf>
    <xf numFmtId="0" fontId="29" fillId="0" borderId="1" xfId="3" applyNumberFormat="1" applyFont="1" applyFill="1" applyBorder="1" applyAlignment="1" applyProtection="1">
      <alignment horizontal="center" vertical="center"/>
      <protection hidden="1"/>
    </xf>
    <xf numFmtId="0" fontId="29" fillId="0" borderId="1" xfId="3" applyNumberFormat="1" applyFont="1" applyFill="1" applyBorder="1" applyAlignment="1" applyProtection="1">
      <alignment horizontal="center" vertical="center" wrapText="1"/>
      <protection hidden="1"/>
    </xf>
    <xf numFmtId="0" fontId="29" fillId="0" borderId="5" xfId="3" applyNumberFormat="1" applyFont="1" applyFill="1" applyBorder="1" applyAlignment="1" applyProtection="1">
      <alignment horizontal="center" vertical="center" wrapText="1"/>
      <protection hidden="1"/>
    </xf>
    <xf numFmtId="0" fontId="29" fillId="0" borderId="11" xfId="3" applyNumberFormat="1" applyFont="1" applyFill="1" applyBorder="1" applyAlignment="1" applyProtection="1">
      <alignment horizontal="center" vertical="center" wrapText="1"/>
      <protection hidden="1"/>
    </xf>
    <xf numFmtId="0" fontId="26" fillId="0" borderId="0" xfId="5" applyFont="1" applyFill="1" applyAlignment="1">
      <alignment horizontal="center"/>
    </xf>
    <xf numFmtId="0" fontId="13" fillId="0" borderId="0" xfId="5" applyFont="1" applyFill="1" applyAlignment="1">
      <alignment horizontal="center"/>
    </xf>
    <xf numFmtId="0" fontId="3" fillId="0" borderId="0" xfId="5" applyFont="1" applyFill="1" applyAlignment="1">
      <alignment horizontal="center"/>
    </xf>
    <xf numFmtId="0" fontId="26" fillId="0" borderId="0" xfId="5" applyFont="1" applyFill="1" applyBorder="1" applyAlignment="1">
      <alignment horizontal="center" vertical="center" wrapText="1"/>
    </xf>
    <xf numFmtId="0" fontId="37" fillId="0" borderId="0" xfId="5" applyFont="1" applyFill="1" applyAlignment="1">
      <alignment horizontal="center"/>
    </xf>
    <xf numFmtId="0" fontId="3" fillId="0" borderId="13" xfId="5" applyNumberFormat="1" applyFont="1" applyFill="1" applyBorder="1" applyAlignment="1">
      <alignment horizontal="center" vertical="center"/>
    </xf>
    <xf numFmtId="0" fontId="3" fillId="0" borderId="1" xfId="5" applyNumberFormat="1" applyFont="1" applyFill="1" applyBorder="1" applyAlignment="1">
      <alignment horizontal="center" vertical="center"/>
    </xf>
    <xf numFmtId="0" fontId="3" fillId="0" borderId="14" xfId="5" applyNumberFormat="1" applyFont="1" applyFill="1" applyBorder="1" applyAlignment="1">
      <alignment horizontal="center" vertical="center" wrapText="1"/>
    </xf>
    <xf numFmtId="0" fontId="3" fillId="0" borderId="16" xfId="5" applyNumberFormat="1" applyFont="1" applyFill="1" applyBorder="1" applyAlignment="1">
      <alignment horizontal="center" vertical="center" wrapText="1"/>
    </xf>
    <xf numFmtId="0" fontId="3" fillId="0" borderId="15" xfId="6" applyFont="1" applyBorder="1" applyAlignment="1">
      <alignment horizontal="center" vertical="center" wrapText="1"/>
    </xf>
    <xf numFmtId="0" fontId="3" fillId="0" borderId="1" xfId="6" applyFont="1" applyBorder="1" applyAlignment="1">
      <alignment horizontal="center" vertical="center" wrapText="1"/>
    </xf>
    <xf numFmtId="0" fontId="36" fillId="0" borderId="17" xfId="5" applyFont="1" applyFill="1" applyBorder="1" applyAlignment="1">
      <alignment horizontal="center"/>
    </xf>
    <xf numFmtId="0" fontId="36" fillId="0" borderId="18" xfId="5" applyFont="1" applyFill="1" applyBorder="1" applyAlignment="1">
      <alignment horizontal="center"/>
    </xf>
    <xf numFmtId="0" fontId="36" fillId="0" borderId="19" xfId="5" applyFont="1" applyFill="1" applyBorder="1" applyAlignment="1">
      <alignment horizontal="center"/>
    </xf>
    <xf numFmtId="0" fontId="3" fillId="0" borderId="12" xfId="5" applyNumberFormat="1" applyFont="1" applyFill="1" applyBorder="1" applyAlignment="1">
      <alignment horizontal="center" vertical="center"/>
    </xf>
    <xf numFmtId="0" fontId="3" fillId="0" borderId="15" xfId="5" applyNumberFormat="1" applyFont="1" applyFill="1" applyBorder="1" applyAlignment="1">
      <alignment horizontal="center" vertical="center"/>
    </xf>
    <xf numFmtId="0" fontId="3" fillId="0" borderId="13" xfId="5" applyNumberFormat="1" applyFont="1" applyFill="1" applyBorder="1" applyAlignment="1">
      <alignment horizontal="center" vertical="center" wrapText="1"/>
    </xf>
    <xf numFmtId="0" fontId="56" fillId="0" borderId="0" xfId="44" applyFont="1" applyBorder="1" applyProtection="1">
      <alignment horizontal="center" vertical="center"/>
    </xf>
    <xf numFmtId="0" fontId="56" fillId="0" borderId="0" xfId="44" applyFont="1" applyAlignment="1" applyProtection="1">
      <alignment horizontal="left" shrinkToFit="1"/>
    </xf>
    <xf numFmtId="0" fontId="56" fillId="0" borderId="0" xfId="44" applyFont="1" applyAlignment="1" applyProtection="1">
      <alignment horizontal="center" vertical="center"/>
    </xf>
    <xf numFmtId="0" fontId="56" fillId="0" borderId="0" xfId="44" applyFont="1" applyProtection="1">
      <alignment horizontal="center" vertical="center"/>
      <protection hidden="1"/>
    </xf>
    <xf numFmtId="173" fontId="56" fillId="5" borderId="0" xfId="44" applyNumberFormat="1" applyFont="1" applyFill="1" applyAlignment="1" applyProtection="1">
      <protection hidden="1"/>
    </xf>
    <xf numFmtId="0" fontId="59" fillId="5" borderId="0" xfId="44" applyFont="1" applyFill="1" applyProtection="1">
      <alignment horizontal="center" vertical="center"/>
      <protection hidden="1"/>
    </xf>
    <xf numFmtId="0" fontId="60" fillId="0" borderId="0" xfId="44" applyFont="1" applyProtection="1">
      <alignment horizontal="center" vertical="center"/>
    </xf>
    <xf numFmtId="0" fontId="56" fillId="0" borderId="0" xfId="44" applyFont="1">
      <alignment horizontal="center" vertical="center"/>
    </xf>
    <xf numFmtId="3" fontId="59" fillId="5" borderId="0" xfId="44" applyNumberFormat="1" applyFont="1" applyFill="1" applyProtection="1">
      <alignment horizontal="center" vertical="center"/>
      <protection hidden="1"/>
    </xf>
    <xf numFmtId="0" fontId="56" fillId="6" borderId="0" xfId="44" applyFont="1" applyFill="1" applyBorder="1" applyAlignment="1" applyProtection="1">
      <alignment horizontal="center" vertical="center" shrinkToFit="1"/>
    </xf>
    <xf numFmtId="0" fontId="26" fillId="0" borderId="0" xfId="44" applyFont="1" applyAlignment="1" applyProtection="1">
      <alignment horizontal="centerContinuous" vertical="center" wrapText="1"/>
      <protection hidden="1"/>
    </xf>
    <xf numFmtId="0" fontId="56" fillId="0" borderId="0" xfId="44" applyFont="1" applyAlignment="1" applyProtection="1">
      <alignment horizontal="centerContinuous" vertical="center"/>
      <protection hidden="1"/>
    </xf>
    <xf numFmtId="0" fontId="60" fillId="0" borderId="0" xfId="44" applyFont="1" applyAlignment="1" applyProtection="1">
      <alignment horizontal="centerContinuous" vertical="center"/>
    </xf>
    <xf numFmtId="0" fontId="56" fillId="0" borderId="0" xfId="44" applyFont="1" applyAlignment="1">
      <alignment horizontal="centerContinuous" vertical="center"/>
    </xf>
    <xf numFmtId="0" fontId="56" fillId="0" borderId="0" xfId="44" applyFont="1" applyAlignment="1">
      <alignment vertical="center"/>
    </xf>
    <xf numFmtId="2" fontId="56" fillId="0" borderId="0" xfId="44" applyNumberFormat="1" applyFont="1" applyAlignment="1">
      <alignment vertical="center"/>
    </xf>
    <xf numFmtId="0" fontId="56" fillId="0" borderId="0" xfId="44" applyFont="1" applyBorder="1" applyAlignment="1" applyProtection="1">
      <alignment horizontal="center" vertical="center" shrinkToFit="1"/>
    </xf>
    <xf numFmtId="0" fontId="3" fillId="0" borderId="0" xfId="44" applyFont="1" applyAlignment="1">
      <alignment horizontal="centerContinuous" vertical="center" wrapText="1"/>
    </xf>
    <xf numFmtId="0" fontId="61" fillId="0" borderId="0" xfId="44" applyFont="1" applyAlignment="1">
      <alignment horizontal="centerContinuous" vertical="center" wrapText="1"/>
    </xf>
    <xf numFmtId="0" fontId="62" fillId="0" borderId="0" xfId="44" applyFont="1" applyAlignment="1">
      <alignment horizontal="centerContinuous" vertical="center" wrapText="1"/>
    </xf>
    <xf numFmtId="0" fontId="3" fillId="0" borderId="0" xfId="44" applyFont="1" applyFill="1" applyAlignment="1">
      <alignment horizontal="centerContinuous" vertical="center"/>
    </xf>
    <xf numFmtId="0" fontId="59" fillId="0" borderId="0" xfId="44" applyFont="1" applyAlignment="1" applyProtection="1">
      <alignment horizontal="center" vertical="center" shrinkToFit="1"/>
    </xf>
    <xf numFmtId="0" fontId="59" fillId="0" borderId="0" xfId="44" applyFont="1" applyAlignment="1" applyProtection="1">
      <alignment horizontal="center" vertical="center"/>
    </xf>
    <xf numFmtId="0" fontId="63" fillId="7" borderId="1" xfId="44" applyNumberFormat="1" applyFont="1" applyFill="1" applyBorder="1" applyAlignment="1" applyProtection="1">
      <alignment horizontal="center" vertical="center" wrapText="1"/>
    </xf>
    <xf numFmtId="0" fontId="63" fillId="7" borderId="5" xfId="44" applyNumberFormat="1" applyFont="1" applyFill="1" applyBorder="1" applyAlignment="1" applyProtection="1">
      <alignment horizontal="center" vertical="center" wrapText="1"/>
    </xf>
    <xf numFmtId="0" fontId="64" fillId="0" borderId="27" xfId="44" applyFont="1" applyBorder="1" applyAlignment="1" applyProtection="1">
      <alignment horizontal="center" vertical="center"/>
    </xf>
    <xf numFmtId="0" fontId="63" fillId="7" borderId="4" xfId="44" applyNumberFormat="1" applyFont="1" applyFill="1" applyBorder="1" applyAlignment="1" applyProtection="1">
      <alignment horizontal="centerContinuous" vertical="center" wrapText="1"/>
    </xf>
    <xf numFmtId="0" fontId="63" fillId="7" borderId="10" xfId="44" applyNumberFormat="1" applyFont="1" applyFill="1" applyBorder="1" applyAlignment="1" applyProtection="1">
      <alignment horizontal="centerContinuous" vertical="center" wrapText="1"/>
    </xf>
    <xf numFmtId="0" fontId="63" fillId="7" borderId="10" xfId="44" applyFont="1" applyFill="1" applyBorder="1" applyAlignment="1" applyProtection="1">
      <alignment horizontal="centerContinuous" vertical="center" wrapText="1"/>
    </xf>
    <xf numFmtId="0" fontId="63" fillId="7" borderId="9" xfId="44" applyFont="1" applyFill="1" applyBorder="1" applyAlignment="1" applyProtection="1">
      <alignment horizontal="centerContinuous" vertical="center" wrapText="1"/>
    </xf>
    <xf numFmtId="0" fontId="63" fillId="7" borderId="5" xfId="44" applyNumberFormat="1" applyFont="1" applyFill="1" applyBorder="1" applyAlignment="1">
      <alignment horizontal="center" vertical="center" wrapText="1"/>
    </xf>
    <xf numFmtId="0" fontId="59" fillId="0" borderId="0" xfId="44" applyFont="1" applyAlignment="1" applyProtection="1">
      <alignment horizontal="left" vertical="center" shrinkToFit="1"/>
    </xf>
    <xf numFmtId="0" fontId="63" fillId="7" borderId="11" xfId="44" applyNumberFormat="1" applyFont="1" applyFill="1" applyBorder="1" applyAlignment="1" applyProtection="1">
      <alignment horizontal="center" vertical="center" wrapText="1"/>
    </xf>
    <xf numFmtId="0" fontId="64" fillId="0" borderId="28" xfId="44" applyFont="1" applyBorder="1" applyAlignment="1" applyProtection="1">
      <alignment horizontal="center" vertical="center"/>
    </xf>
    <xf numFmtId="0" fontId="63" fillId="7" borderId="1" xfId="44" applyFont="1" applyFill="1" applyBorder="1" applyAlignment="1" applyProtection="1">
      <alignment horizontal="center" vertical="center" wrapText="1"/>
    </xf>
    <xf numFmtId="0" fontId="63" fillId="7" borderId="11" xfId="44" applyNumberFormat="1" applyFont="1" applyFill="1" applyBorder="1" applyAlignment="1">
      <alignment horizontal="center" vertical="center" wrapText="1"/>
    </xf>
    <xf numFmtId="0" fontId="65" fillId="7" borderId="0" xfId="44" applyNumberFormat="1" applyFont="1" applyFill="1" applyBorder="1" applyAlignment="1">
      <alignment vertical="center" wrapText="1"/>
    </xf>
    <xf numFmtId="2" fontId="65" fillId="7" borderId="0" xfId="44" applyNumberFormat="1" applyFont="1" applyFill="1" applyBorder="1" applyAlignment="1">
      <alignment vertical="center" wrapText="1"/>
    </xf>
    <xf numFmtId="0" fontId="59" fillId="0" borderId="0" xfId="44" applyFont="1" applyAlignment="1" applyProtection="1">
      <alignment horizontal="left" shrinkToFit="1"/>
    </xf>
    <xf numFmtId="0" fontId="59" fillId="0" borderId="0" xfId="44" applyFont="1" applyAlignment="1" applyProtection="1">
      <alignment horizontal="center"/>
    </xf>
    <xf numFmtId="0" fontId="13" fillId="0" borderId="1" xfId="44" applyFont="1" applyBorder="1" applyAlignment="1" applyProtection="1">
      <alignment horizontal="center" vertical="center"/>
      <protection hidden="1"/>
    </xf>
    <xf numFmtId="0" fontId="13" fillId="0" borderId="1" xfId="44" applyFont="1" applyBorder="1" applyAlignment="1" applyProtection="1">
      <alignment vertical="center"/>
      <protection hidden="1"/>
    </xf>
    <xf numFmtId="0" fontId="64" fillId="0" borderId="1" xfId="44" applyFont="1" applyBorder="1" applyAlignment="1" applyProtection="1">
      <alignment horizontal="center" vertical="center"/>
    </xf>
    <xf numFmtId="0" fontId="13" fillId="0" borderId="11" xfId="44" applyFont="1" applyBorder="1" applyAlignment="1" applyProtection="1">
      <alignment horizontal="center" vertical="center"/>
      <protection hidden="1"/>
    </xf>
    <xf numFmtId="0" fontId="13" fillId="0" borderId="0" xfId="44" applyFont="1" applyAlignment="1">
      <alignment horizontal="center" vertical="center"/>
    </xf>
    <xf numFmtId="0" fontId="13" fillId="0" borderId="29" xfId="44" applyFont="1" applyBorder="1" applyAlignment="1" applyProtection="1">
      <alignment horizontal="center" vertical="center"/>
      <protection hidden="1"/>
    </xf>
    <xf numFmtId="0" fontId="13" fillId="0" borderId="29" xfId="44" applyFont="1" applyBorder="1" applyAlignment="1" applyProtection="1">
      <alignment vertical="center"/>
      <protection hidden="1"/>
    </xf>
    <xf numFmtId="0" fontId="64" fillId="0" borderId="29" xfId="44" applyFont="1" applyBorder="1" applyAlignment="1" applyProtection="1">
      <alignment horizontal="center" vertical="center"/>
    </xf>
    <xf numFmtId="0" fontId="59" fillId="0" borderId="0" xfId="44" applyFont="1" applyBorder="1" applyAlignment="1" applyProtection="1">
      <alignment horizontal="left" vertical="center" shrinkToFit="1"/>
    </xf>
    <xf numFmtId="0" fontId="29" fillId="8" borderId="23" xfId="44" applyFont="1" applyFill="1" applyBorder="1" applyAlignment="1" applyProtection="1">
      <alignment vertical="center"/>
      <protection hidden="1"/>
    </xf>
    <xf numFmtId="0" fontId="13" fillId="0" borderId="23" xfId="44" applyFont="1" applyBorder="1" applyAlignment="1" applyProtection="1">
      <alignment horizontal="center" vertical="center"/>
      <protection hidden="1"/>
    </xf>
    <xf numFmtId="0" fontId="13" fillId="0" borderId="0" xfId="44" applyFont="1" applyAlignment="1">
      <alignment vertical="center"/>
    </xf>
    <xf numFmtId="164" fontId="13" fillId="0" borderId="0" xfId="44" applyNumberFormat="1" applyFont="1" applyAlignment="1">
      <alignment vertical="center"/>
    </xf>
    <xf numFmtId="2" fontId="13" fillId="0" borderId="0" xfId="44" applyNumberFormat="1" applyFont="1" applyAlignment="1">
      <alignment vertical="center"/>
    </xf>
    <xf numFmtId="0" fontId="56" fillId="8" borderId="0" xfId="44" applyFont="1" applyFill="1" applyBorder="1" applyProtection="1">
      <alignment horizontal="center" vertical="center"/>
    </xf>
    <xf numFmtId="0" fontId="59" fillId="8" borderId="0" xfId="44" applyFont="1" applyFill="1" applyBorder="1" applyAlignment="1" applyProtection="1">
      <alignment horizontal="left" shrinkToFit="1"/>
    </xf>
    <xf numFmtId="0" fontId="59" fillId="8" borderId="0" xfId="44" applyFont="1" applyFill="1" applyAlignment="1" applyProtection="1">
      <alignment horizontal="center"/>
    </xf>
    <xf numFmtId="0" fontId="13" fillId="8" borderId="23" xfId="44" applyFont="1" applyFill="1" applyBorder="1" applyAlignment="1" applyProtection="1">
      <alignment horizontal="center" vertical="center"/>
      <protection hidden="1"/>
    </xf>
    <xf numFmtId="0" fontId="29" fillId="8" borderId="23" xfId="44" applyFont="1" applyFill="1" applyBorder="1" applyAlignment="1" applyProtection="1">
      <alignment horizontal="left" vertical="center"/>
      <protection hidden="1"/>
    </xf>
    <xf numFmtId="0" fontId="29" fillId="8" borderId="23" xfId="44" applyFont="1" applyFill="1" applyBorder="1" applyAlignment="1" applyProtection="1">
      <alignment horizontal="center" vertical="center"/>
      <protection hidden="1"/>
    </xf>
    <xf numFmtId="164" fontId="64" fillId="8" borderId="23" xfId="15" applyNumberFormat="1" applyFont="1" applyFill="1" applyBorder="1" applyAlignment="1" applyProtection="1">
      <alignment vertical="center"/>
    </xf>
    <xf numFmtId="164" fontId="29" fillId="8" borderId="23" xfId="15" applyNumberFormat="1" applyFont="1" applyFill="1" applyBorder="1" applyAlignment="1" applyProtection="1">
      <alignment vertical="center"/>
      <protection hidden="1"/>
    </xf>
    <xf numFmtId="164" fontId="13" fillId="8" borderId="23" xfId="15" applyNumberFormat="1" applyFont="1" applyFill="1" applyBorder="1" applyAlignment="1" applyProtection="1">
      <alignment vertical="center"/>
      <protection hidden="1"/>
    </xf>
    <xf numFmtId="0" fontId="59" fillId="0" borderId="0" xfId="44" applyFont="1" applyBorder="1" applyAlignment="1" applyProtection="1">
      <alignment horizontal="left" shrinkToFit="1"/>
    </xf>
    <xf numFmtId="0" fontId="59" fillId="0" borderId="0" xfId="44" applyFont="1" applyFill="1" applyAlignment="1" applyProtection="1">
      <alignment horizontal="center"/>
    </xf>
    <xf numFmtId="174" fontId="64" fillId="0" borderId="23" xfId="15" applyNumberFormat="1" applyFont="1" applyBorder="1" applyAlignment="1" applyProtection="1">
      <alignment vertical="center"/>
    </xf>
    <xf numFmtId="43" fontId="13" fillId="0" borderId="23" xfId="15" applyFont="1" applyBorder="1" applyAlignment="1" applyProtection="1">
      <alignment vertical="center"/>
      <protection hidden="1"/>
    </xf>
    <xf numFmtId="164" fontId="13" fillId="0" borderId="23" xfId="15" applyNumberFormat="1" applyFont="1" applyFill="1" applyBorder="1" applyAlignment="1" applyProtection="1">
      <alignment vertical="center"/>
      <protection hidden="1"/>
    </xf>
    <xf numFmtId="0" fontId="66" fillId="0" borderId="0" xfId="44" applyFont="1" applyBorder="1" applyAlignment="1" applyProtection="1">
      <alignment horizontal="left" shrinkToFit="1"/>
    </xf>
    <xf numFmtId="43" fontId="64" fillId="0" borderId="23" xfId="15" applyFont="1" applyBorder="1" applyAlignment="1" applyProtection="1">
      <alignment vertical="center"/>
    </xf>
    <xf numFmtId="0" fontId="13" fillId="0" borderId="23" xfId="44" applyFont="1" applyBorder="1" applyAlignment="1" applyProtection="1">
      <alignment vertical="center"/>
      <protection hidden="1"/>
    </xf>
    <xf numFmtId="164" fontId="64" fillId="0" borderId="23" xfId="15" applyNumberFormat="1" applyFont="1" applyBorder="1" applyAlignment="1" applyProtection="1">
      <alignment vertical="center"/>
    </xf>
    <xf numFmtId="164" fontId="13" fillId="0" borderId="23" xfId="15" applyNumberFormat="1" applyFont="1" applyBorder="1" applyAlignment="1" applyProtection="1">
      <alignment vertical="center"/>
      <protection hidden="1"/>
    </xf>
    <xf numFmtId="0" fontId="56" fillId="0" borderId="0" xfId="44" applyFont="1" applyFill="1" applyBorder="1" applyProtection="1">
      <alignment horizontal="center" vertical="center"/>
    </xf>
    <xf numFmtId="0" fontId="59" fillId="0" borderId="0" xfId="44" applyFont="1" applyFill="1" applyBorder="1" applyAlignment="1" applyProtection="1">
      <alignment horizontal="left" shrinkToFit="1"/>
    </xf>
    <xf numFmtId="0" fontId="13" fillId="0" borderId="23" xfId="44" applyFont="1" applyFill="1" applyBorder="1" applyAlignment="1" applyProtection="1">
      <alignment horizontal="center" vertical="center"/>
      <protection hidden="1"/>
    </xf>
    <xf numFmtId="43" fontId="13" fillId="0" borderId="23" xfId="15" applyFont="1" applyFill="1" applyBorder="1" applyAlignment="1" applyProtection="1">
      <alignment vertical="center"/>
      <protection hidden="1"/>
    </xf>
    <xf numFmtId="43" fontId="64" fillId="0" borderId="23" xfId="15" applyFont="1" applyFill="1" applyBorder="1" applyAlignment="1" applyProtection="1">
      <alignment vertical="center"/>
    </xf>
    <xf numFmtId="0" fontId="13" fillId="0" borderId="23" xfId="44" applyFont="1" applyFill="1" applyBorder="1" applyAlignment="1" applyProtection="1">
      <alignment vertical="center"/>
      <protection hidden="1"/>
    </xf>
    <xf numFmtId="164" fontId="64" fillId="0" borderId="23" xfId="15" applyNumberFormat="1" applyFont="1" applyFill="1" applyBorder="1" applyAlignment="1" applyProtection="1">
      <alignment vertical="center"/>
    </xf>
    <xf numFmtId="0" fontId="66" fillId="0" borderId="0" xfId="44" applyFont="1" applyFill="1" applyBorder="1" applyAlignment="1" applyProtection="1">
      <alignment horizontal="left" vertical="center" shrinkToFit="1"/>
    </xf>
    <xf numFmtId="43" fontId="13" fillId="0" borderId="23" xfId="15" applyNumberFormat="1" applyFont="1" applyFill="1" applyBorder="1" applyAlignment="1" applyProtection="1">
      <alignment vertical="center"/>
      <protection hidden="1"/>
    </xf>
    <xf numFmtId="175" fontId="13" fillId="8" borderId="23" xfId="15" applyNumberFormat="1" applyFont="1" applyFill="1" applyBorder="1" applyAlignment="1" applyProtection="1">
      <alignment vertical="center"/>
      <protection hidden="1"/>
    </xf>
    <xf numFmtId="0" fontId="56" fillId="0" borderId="0" xfId="44" applyFont="1" applyBorder="1" applyAlignment="1" applyProtection="1">
      <alignment horizontal="left" shrinkToFit="1"/>
    </xf>
    <xf numFmtId="0" fontId="56" fillId="8" borderId="0" xfId="44" applyFont="1" applyFill="1" applyBorder="1" applyAlignment="1" applyProtection="1">
      <alignment horizontal="center" vertical="center" shrinkToFit="1"/>
    </xf>
    <xf numFmtId="0" fontId="59" fillId="8" borderId="0" xfId="44" applyFont="1" applyFill="1" applyBorder="1" applyAlignment="1" applyProtection="1">
      <alignment horizontal="left" vertical="center" shrinkToFit="1"/>
    </xf>
    <xf numFmtId="0" fontId="59" fillId="8" borderId="0" xfId="44" applyFont="1" applyFill="1" applyAlignment="1" applyProtection="1">
      <alignment horizontal="center" vertical="center"/>
    </xf>
    <xf numFmtId="0" fontId="56" fillId="0" borderId="0" xfId="44" applyFont="1" applyFill="1" applyBorder="1" applyAlignment="1" applyProtection="1">
      <alignment horizontal="center" vertical="center" shrinkToFit="1"/>
    </xf>
    <xf numFmtId="0" fontId="59" fillId="0" borderId="0" xfId="44" applyFont="1" applyFill="1" applyAlignment="1" applyProtection="1">
      <alignment horizontal="center" vertical="center"/>
    </xf>
    <xf numFmtId="175" fontId="64" fillId="0" borderId="23" xfId="15" applyNumberFormat="1" applyFont="1" applyBorder="1" applyAlignment="1" applyProtection="1">
      <alignment vertical="center"/>
    </xf>
    <xf numFmtId="0" fontId="66" fillId="8" borderId="0" xfId="44" applyFont="1" applyFill="1" applyBorder="1" applyAlignment="1" applyProtection="1">
      <alignment horizontal="left" shrinkToFit="1"/>
    </xf>
    <xf numFmtId="43" fontId="13" fillId="0" borderId="23" xfId="15" applyNumberFormat="1" applyFont="1" applyBorder="1" applyAlignment="1" applyProtection="1">
      <alignment vertical="center"/>
      <protection hidden="1"/>
    </xf>
    <xf numFmtId="175" fontId="13" fillId="0" borderId="23" xfId="15" applyNumberFormat="1" applyFont="1" applyBorder="1" applyAlignment="1" applyProtection="1">
      <alignment vertical="center"/>
      <protection hidden="1"/>
    </xf>
    <xf numFmtId="0" fontId="13" fillId="9" borderId="23" xfId="44" applyFont="1" applyFill="1" applyBorder="1" applyAlignment="1" applyProtection="1">
      <alignment horizontal="center" vertical="center"/>
      <protection hidden="1"/>
    </xf>
    <xf numFmtId="0" fontId="56" fillId="8" borderId="0" xfId="44" applyFont="1" applyFill="1" applyBorder="1" applyAlignment="1" applyProtection="1">
      <alignment horizontal="center" vertical="center"/>
    </xf>
    <xf numFmtId="174" fontId="64" fillId="8" borderId="23" xfId="15" applyNumberFormat="1" applyFont="1" applyFill="1" applyBorder="1" applyAlignment="1" applyProtection="1">
      <alignment vertical="center"/>
    </xf>
    <xf numFmtId="0" fontId="56" fillId="0" borderId="0" xfId="44" applyFont="1" applyBorder="1" applyAlignment="1" applyProtection="1">
      <alignment horizontal="center" vertical="center"/>
    </xf>
    <xf numFmtId="43" fontId="64" fillId="0" borderId="23" xfId="15" applyNumberFormat="1" applyFont="1" applyBorder="1" applyAlignment="1" applyProtection="1">
      <alignment vertical="center"/>
    </xf>
    <xf numFmtId="43" fontId="64" fillId="8" borderId="23" xfId="15" applyNumberFormat="1" applyFont="1" applyFill="1" applyBorder="1" applyAlignment="1" applyProtection="1">
      <alignment vertical="center"/>
    </xf>
    <xf numFmtId="0" fontId="59" fillId="0" borderId="0" xfId="44" applyFont="1" applyFill="1" applyBorder="1" applyAlignment="1" applyProtection="1">
      <alignment horizontal="left" vertical="center" shrinkToFit="1"/>
    </xf>
    <xf numFmtId="0" fontId="57" fillId="8" borderId="23" xfId="44" applyFont="1" applyFill="1" applyBorder="1" applyAlignment="1" applyProtection="1">
      <alignment horizontal="center" vertical="center"/>
      <protection hidden="1"/>
    </xf>
    <xf numFmtId="164" fontId="68" fillId="8" borderId="23" xfId="15" applyNumberFormat="1" applyFont="1" applyFill="1" applyBorder="1" applyAlignment="1" applyProtection="1">
      <alignment vertical="center"/>
      <protection hidden="1"/>
    </xf>
    <xf numFmtId="164" fontId="12" fillId="0" borderId="23" xfId="15" applyNumberFormat="1" applyFont="1" applyFill="1" applyBorder="1" applyAlignment="1" applyProtection="1">
      <alignment vertical="center"/>
      <protection hidden="1"/>
    </xf>
    <xf numFmtId="0" fontId="59" fillId="0" borderId="0" xfId="15" applyNumberFormat="1" applyFont="1" applyFill="1" applyBorder="1" applyAlignment="1" applyProtection="1">
      <alignment horizontal="left" vertical="center"/>
    </xf>
    <xf numFmtId="0" fontId="59" fillId="0" borderId="0" xfId="15" applyNumberFormat="1" applyFont="1" applyFill="1" applyBorder="1" applyAlignment="1" applyProtection="1">
      <alignment horizontal="left" vertical="center" shrinkToFit="1"/>
    </xf>
    <xf numFmtId="0" fontId="59" fillId="0" borderId="0" xfId="15" applyNumberFormat="1" applyFont="1" applyFill="1" applyBorder="1" applyAlignment="1" applyProtection="1">
      <alignment horizontal="center" vertical="center"/>
    </xf>
    <xf numFmtId="0" fontId="59" fillId="3" borderId="0" xfId="15" applyNumberFormat="1" applyFont="1" applyFill="1" applyBorder="1" applyAlignment="1" applyProtection="1">
      <alignment horizontal="left" vertical="center"/>
    </xf>
    <xf numFmtId="0" fontId="59" fillId="3" borderId="0" xfId="15" applyNumberFormat="1" applyFont="1" applyFill="1" applyBorder="1" applyAlignment="1" applyProtection="1">
      <alignment horizontal="left" vertical="center" shrinkToFit="1"/>
    </xf>
    <xf numFmtId="0" fontId="13" fillId="10" borderId="23" xfId="44" applyFont="1" applyFill="1" applyBorder="1" applyAlignment="1" applyProtection="1">
      <alignment horizontal="center" vertical="center"/>
      <protection hidden="1"/>
    </xf>
    <xf numFmtId="0" fontId="56" fillId="11" borderId="23" xfId="44" applyFont="1" applyFill="1" applyBorder="1" applyAlignment="1">
      <alignment horizontal="left" shrinkToFit="1"/>
    </xf>
    <xf numFmtId="0" fontId="29" fillId="8" borderId="23" xfId="44" applyFont="1" applyFill="1" applyBorder="1" applyAlignment="1" applyProtection="1">
      <alignment horizontal="left" vertical="center" shrinkToFit="1"/>
      <protection hidden="1"/>
    </xf>
    <xf numFmtId="164" fontId="69" fillId="8" borderId="23" xfId="15" applyNumberFormat="1" applyFont="1" applyFill="1" applyBorder="1" applyAlignment="1" applyProtection="1">
      <alignment vertical="center"/>
      <protection hidden="1"/>
    </xf>
    <xf numFmtId="0" fontId="59" fillId="10" borderId="0" xfId="44" applyFont="1" applyFill="1" applyBorder="1" applyAlignment="1" applyProtection="1">
      <alignment horizontal="left" shrinkToFit="1"/>
    </xf>
    <xf numFmtId="0" fontId="59" fillId="8" borderId="0" xfId="44" applyFont="1" applyFill="1" applyBorder="1" applyProtection="1">
      <alignment horizontal="center" vertical="center"/>
    </xf>
    <xf numFmtId="164" fontId="13" fillId="0" borderId="23" xfId="44" applyNumberFormat="1" applyFont="1" applyBorder="1" applyAlignment="1" applyProtection="1">
      <alignment horizontal="center" vertical="center"/>
      <protection hidden="1"/>
    </xf>
    <xf numFmtId="43" fontId="59" fillId="4" borderId="0" xfId="44" applyNumberFormat="1" applyFont="1" applyFill="1" applyBorder="1" applyAlignment="1" applyProtection="1">
      <alignment horizontal="left" shrinkToFit="1"/>
    </xf>
    <xf numFmtId="0" fontId="59" fillId="0" borderId="0" xfId="44" quotePrefix="1" applyFont="1" applyBorder="1" applyAlignment="1" applyProtection="1">
      <alignment horizontal="left" shrinkToFit="1"/>
    </xf>
    <xf numFmtId="0" fontId="56" fillId="0" borderId="0" xfId="15" applyNumberFormat="1" applyFont="1" applyFill="1" applyBorder="1" applyAlignment="1" applyProtection="1">
      <alignment horizontal="left" vertical="center" shrinkToFit="1"/>
    </xf>
    <xf numFmtId="0" fontId="56" fillId="0" borderId="0" xfId="15" applyNumberFormat="1" applyFont="1" applyFill="1" applyBorder="1" applyAlignment="1" applyProtection="1">
      <alignment horizontal="left" vertical="center"/>
    </xf>
    <xf numFmtId="0" fontId="59" fillId="0" borderId="0" xfId="44" applyFont="1" applyBorder="1" applyProtection="1">
      <alignment horizontal="center" vertical="center"/>
    </xf>
    <xf numFmtId="0" fontId="56" fillId="0" borderId="0" xfId="15" applyNumberFormat="1" applyFont="1" applyFill="1" applyBorder="1" applyAlignment="1" applyProtection="1">
      <alignment horizontal="center" vertical="center"/>
    </xf>
    <xf numFmtId="0" fontId="57" fillId="0" borderId="0" xfId="15" applyNumberFormat="1" applyFont="1" applyFill="1" applyBorder="1" applyAlignment="1" applyProtection="1">
      <alignment vertical="center"/>
    </xf>
    <xf numFmtId="177" fontId="13" fillId="0" borderId="30" xfId="44" applyNumberFormat="1" applyFont="1" applyBorder="1" applyAlignment="1" applyProtection="1">
      <alignment horizontal="right" vertical="center"/>
      <protection hidden="1"/>
    </xf>
    <xf numFmtId="0" fontId="70" fillId="0" borderId="0" xfId="44" applyFont="1" applyBorder="1" applyAlignment="1" applyProtection="1">
      <alignment horizontal="left" shrinkToFit="1"/>
    </xf>
    <xf numFmtId="0" fontId="71" fillId="8" borderId="23" xfId="44" applyFont="1" applyFill="1" applyBorder="1" applyAlignment="1" applyProtection="1">
      <alignment vertical="center"/>
      <protection hidden="1"/>
    </xf>
    <xf numFmtId="0" fontId="59" fillId="4" borderId="0" xfId="44" applyFont="1" applyFill="1" applyBorder="1" applyAlignment="1" applyProtection="1">
      <alignment horizontal="left" shrinkToFit="1"/>
    </xf>
    <xf numFmtId="0" fontId="70" fillId="0" borderId="0" xfId="44" applyFont="1" applyBorder="1" applyAlignment="1" applyProtection="1">
      <alignment horizontal="left" vertical="center" shrinkToFit="1"/>
    </xf>
    <xf numFmtId="0" fontId="70" fillId="0" borderId="0" xfId="44" applyFont="1" applyFill="1" applyBorder="1" applyAlignment="1" applyProtection="1">
      <alignment horizontal="left" shrinkToFit="1"/>
    </xf>
    <xf numFmtId="0" fontId="71" fillId="8" borderId="23" xfId="44" applyFont="1" applyFill="1" applyBorder="1" applyAlignment="1" applyProtection="1">
      <alignment vertical="center" wrapText="1"/>
      <protection hidden="1"/>
    </xf>
    <xf numFmtId="43" fontId="59" fillId="0" borderId="0" xfId="15" applyFont="1" applyBorder="1" applyAlignment="1" applyProtection="1">
      <alignment horizontal="left" shrinkToFit="1"/>
    </xf>
    <xf numFmtId="178" fontId="56" fillId="0" borderId="0" xfId="44" applyNumberFormat="1" applyFont="1" applyBorder="1" applyAlignment="1" applyProtection="1">
      <alignment horizontal="left"/>
    </xf>
    <xf numFmtId="43" fontId="59" fillId="0" borderId="0" xfId="15" applyFont="1" applyFill="1" applyBorder="1" applyAlignment="1" applyProtection="1">
      <alignment horizontal="left" shrinkToFit="1"/>
    </xf>
    <xf numFmtId="43" fontId="59" fillId="0" borderId="0" xfId="15" applyFont="1" applyBorder="1" applyAlignment="1" applyProtection="1">
      <alignment horizontal="left" vertical="center" shrinkToFit="1"/>
    </xf>
    <xf numFmtId="43" fontId="59" fillId="4" borderId="0" xfId="15" applyFont="1" applyFill="1" applyBorder="1" applyAlignment="1" applyProtection="1">
      <alignment horizontal="left" shrinkToFit="1"/>
    </xf>
    <xf numFmtId="0" fontId="66" fillId="0" borderId="0" xfId="44" applyFont="1" applyBorder="1" applyAlignment="1" applyProtection="1">
      <alignment horizontal="left" vertical="center" shrinkToFit="1"/>
    </xf>
    <xf numFmtId="0" fontId="71" fillId="0" borderId="31" xfId="44" applyFont="1" applyBorder="1" applyAlignment="1" applyProtection="1">
      <alignment horizontal="center" vertical="center"/>
    </xf>
    <xf numFmtId="164" fontId="59" fillId="0" borderId="0" xfId="15" applyNumberFormat="1" applyFont="1" applyBorder="1" applyAlignment="1" applyProtection="1">
      <alignment horizontal="left" shrinkToFit="1"/>
    </xf>
    <xf numFmtId="0" fontId="67" fillId="0" borderId="23" xfId="44" applyFont="1" applyBorder="1" applyAlignment="1" applyProtection="1">
      <alignment vertical="center"/>
      <protection hidden="1"/>
    </xf>
    <xf numFmtId="41" fontId="13" fillId="0" borderId="23" xfId="15" applyNumberFormat="1" applyFont="1" applyBorder="1" applyAlignment="1" applyProtection="1">
      <alignment vertical="center"/>
      <protection hidden="1"/>
    </xf>
    <xf numFmtId="179" fontId="13" fillId="0" borderId="30" xfId="44" applyNumberFormat="1" applyFont="1" applyBorder="1" applyAlignment="1" applyProtection="1">
      <alignment horizontal="right" vertical="center"/>
      <protection hidden="1"/>
    </xf>
    <xf numFmtId="0" fontId="56" fillId="4" borderId="23" xfId="44" applyFont="1" applyFill="1" applyBorder="1" applyAlignment="1">
      <alignment horizontal="left" shrinkToFit="1"/>
    </xf>
    <xf numFmtId="177" fontId="13" fillId="0" borderId="23" xfId="44" applyNumberFormat="1" applyFont="1" applyBorder="1" applyAlignment="1" applyProtection="1">
      <alignment horizontal="right" vertical="center"/>
      <protection hidden="1"/>
    </xf>
    <xf numFmtId="0" fontId="59" fillId="11" borderId="0" xfId="44" applyFont="1" applyFill="1" applyBorder="1" applyAlignment="1" applyProtection="1">
      <alignment horizontal="center" vertical="center" shrinkToFit="1"/>
      <protection locked="0"/>
    </xf>
    <xf numFmtId="0" fontId="72" fillId="0" borderId="0" xfId="44" applyFont="1" applyFill="1" applyBorder="1" applyProtection="1">
      <alignment horizontal="center" vertical="center"/>
    </xf>
    <xf numFmtId="0" fontId="73" fillId="0" borderId="23" xfId="44" applyFont="1" applyFill="1" applyBorder="1" applyAlignment="1" applyProtection="1">
      <alignment horizontal="center" vertical="center"/>
      <protection hidden="1"/>
    </xf>
    <xf numFmtId="43" fontId="56" fillId="4" borderId="0" xfId="15" applyFont="1" applyFill="1" applyBorder="1" applyAlignment="1" applyProtection="1">
      <alignment horizontal="left" shrinkToFit="1"/>
    </xf>
    <xf numFmtId="179" fontId="13" fillId="0" borderId="23" xfId="44" applyNumberFormat="1" applyFont="1" applyBorder="1" applyAlignment="1" applyProtection="1">
      <alignment horizontal="right" vertical="center"/>
      <protection hidden="1"/>
    </xf>
    <xf numFmtId="177" fontId="67" fillId="0" borderId="30" xfId="44" applyNumberFormat="1" applyFont="1" applyBorder="1" applyAlignment="1" applyProtection="1">
      <alignment horizontal="right" vertical="center"/>
      <protection hidden="1"/>
    </xf>
    <xf numFmtId="177" fontId="13" fillId="0" borderId="30" xfId="44" applyNumberFormat="1" applyFont="1" applyBorder="1" applyAlignment="1" applyProtection="1">
      <alignment horizontal="center" vertical="center"/>
      <protection hidden="1"/>
    </xf>
    <xf numFmtId="0" fontId="13" fillId="8" borderId="23" xfId="44" applyFont="1" applyFill="1" applyBorder="1" applyAlignment="1" applyProtection="1">
      <alignment vertical="center"/>
      <protection hidden="1"/>
    </xf>
    <xf numFmtId="0" fontId="56" fillId="12" borderId="23" xfId="44" applyFont="1" applyFill="1" applyBorder="1" applyAlignment="1">
      <alignment shrinkToFit="1"/>
    </xf>
    <xf numFmtId="0" fontId="59" fillId="7" borderId="0" xfId="44" applyFont="1" applyFill="1" applyBorder="1" applyAlignment="1" applyProtection="1">
      <alignment horizontal="left" shrinkToFit="1"/>
    </xf>
    <xf numFmtId="0" fontId="56" fillId="7" borderId="0" xfId="44" applyFont="1" applyFill="1" applyBorder="1" applyAlignment="1" applyProtection="1">
      <alignment horizontal="left" shrinkToFit="1"/>
    </xf>
    <xf numFmtId="0" fontId="56" fillId="0" borderId="23" xfId="44" applyFont="1" applyBorder="1" applyAlignment="1">
      <alignment horizontal="left"/>
    </xf>
    <xf numFmtId="0" fontId="56" fillId="0" borderId="23" xfId="44" applyFont="1" applyBorder="1" applyAlignment="1">
      <alignment horizontal="left" shrinkToFit="1"/>
    </xf>
    <xf numFmtId="0" fontId="59" fillId="12" borderId="23" xfId="44" applyFont="1" applyFill="1" applyBorder="1" applyAlignment="1">
      <alignment horizontal="left" shrinkToFit="1"/>
    </xf>
    <xf numFmtId="3" fontId="59" fillId="0" borderId="0" xfId="45" applyNumberFormat="1" applyFont="1" applyFill="1" applyAlignment="1" applyProtection="1">
      <alignment horizontal="left" shrinkToFit="1"/>
    </xf>
    <xf numFmtId="0" fontId="2" fillId="0" borderId="0" xfId="44" applyAlignment="1">
      <alignment horizontal="center" vertical="center" shrinkToFit="1"/>
    </xf>
    <xf numFmtId="0" fontId="29" fillId="8" borderId="24" xfId="44" applyFont="1" applyFill="1" applyBorder="1" applyAlignment="1" applyProtection="1">
      <alignment horizontal="center" vertical="center"/>
      <protection hidden="1"/>
    </xf>
    <xf numFmtId="0" fontId="29" fillId="8" borderId="24" xfId="44" applyFont="1" applyFill="1" applyBorder="1" applyAlignment="1" applyProtection="1">
      <alignment horizontal="left" vertical="center"/>
      <protection hidden="1"/>
    </xf>
    <xf numFmtId="4" fontId="64" fillId="0" borderId="23" xfId="15" applyNumberFormat="1" applyFont="1" applyFill="1" applyBorder="1" applyAlignment="1" applyProtection="1">
      <alignment vertical="center"/>
    </xf>
    <xf numFmtId="0" fontId="13" fillId="0" borderId="25" xfId="44" applyFont="1" applyFill="1" applyBorder="1" applyAlignment="1" applyProtection="1">
      <alignment horizontal="center" vertical="center"/>
      <protection hidden="1"/>
    </xf>
    <xf numFmtId="43" fontId="64" fillId="0" borderId="25" xfId="15" applyFont="1" applyFill="1" applyBorder="1" applyAlignment="1" applyProtection="1">
      <alignment vertical="center"/>
    </xf>
    <xf numFmtId="43" fontId="13" fillId="0" borderId="25" xfId="15" applyFont="1" applyFill="1" applyBorder="1" applyAlignment="1" applyProtection="1">
      <alignment vertical="center"/>
      <protection hidden="1"/>
    </xf>
    <xf numFmtId="0" fontId="56" fillId="0" borderId="0" xfId="44" applyFont="1" applyAlignment="1" applyProtection="1">
      <alignment horizontal="left" vertical="center" shrinkToFit="1"/>
    </xf>
    <xf numFmtId="0" fontId="56" fillId="0" borderId="0" xfId="44" applyFont="1" applyAlignment="1" applyProtection="1">
      <alignment vertical="center"/>
      <protection hidden="1"/>
    </xf>
    <xf numFmtId="0" fontId="64" fillId="0" borderId="0" xfId="44" applyFont="1" applyProtection="1">
      <alignment horizontal="center" vertical="center"/>
    </xf>
    <xf numFmtId="2" fontId="56" fillId="0" borderId="0" xfId="44" applyNumberFormat="1" applyFont="1">
      <alignment horizontal="center" vertical="center"/>
    </xf>
    <xf numFmtId="184" fontId="56" fillId="0" borderId="0" xfId="44" applyNumberFormat="1" applyFont="1" applyAlignment="1" applyProtection="1">
      <alignment vertical="center"/>
      <protection hidden="1"/>
    </xf>
    <xf numFmtId="0" fontId="76" fillId="0" borderId="0" xfId="47" applyFont="1" applyFill="1" applyAlignment="1"/>
    <xf numFmtId="0" fontId="3" fillId="0" borderId="1" xfId="26" applyFont="1" applyBorder="1" applyAlignment="1">
      <alignment horizontal="left" vertical="center"/>
    </xf>
    <xf numFmtId="49" fontId="3" fillId="0" borderId="1" xfId="26" applyNumberFormat="1" applyFont="1" applyBorder="1" applyAlignment="1">
      <alignment horizontal="center" vertical="center"/>
    </xf>
    <xf numFmtId="0" fontId="3" fillId="0" borderId="1" xfId="26" applyFont="1" applyBorder="1" applyAlignment="1">
      <alignment horizontal="center" vertical="center"/>
    </xf>
    <xf numFmtId="0" fontId="3" fillId="0" borderId="0" xfId="26" applyFont="1" applyAlignment="1">
      <alignment horizontal="left"/>
    </xf>
    <xf numFmtId="0" fontId="3" fillId="0" borderId="0" xfId="26" applyFont="1">
      <alignment horizontal="center" vertical="center"/>
    </xf>
    <xf numFmtId="0" fontId="56" fillId="0" borderId="23" xfId="26" applyFont="1" applyBorder="1" applyAlignment="1">
      <alignment horizontal="left"/>
    </xf>
    <xf numFmtId="49" fontId="56" fillId="0" borderId="23" xfId="26" quotePrefix="1" applyNumberFormat="1" applyFont="1" applyBorder="1" applyAlignment="1">
      <alignment horizontal="center"/>
    </xf>
    <xf numFmtId="0" fontId="56" fillId="0" borderId="23" xfId="26" applyFont="1" applyBorder="1" applyAlignment="1">
      <alignment horizontal="center"/>
    </xf>
    <xf numFmtId="0" fontId="56" fillId="0" borderId="0" xfId="26" applyFont="1" applyAlignment="1">
      <alignment horizontal="left"/>
    </xf>
    <xf numFmtId="0" fontId="56" fillId="0" borderId="0" xfId="26" applyFont="1">
      <alignment horizontal="center" vertical="center"/>
    </xf>
    <xf numFmtId="49" fontId="56" fillId="0" borderId="23" xfId="26" applyNumberFormat="1" applyFont="1" applyBorder="1" applyAlignment="1">
      <alignment horizontal="center"/>
    </xf>
    <xf numFmtId="0" fontId="56" fillId="12" borderId="23" xfId="26" applyFont="1" applyFill="1" applyBorder="1" applyAlignment="1">
      <alignment horizontal="left"/>
    </xf>
    <xf numFmtId="49" fontId="56" fillId="12" borderId="23" xfId="26" applyNumberFormat="1" applyFont="1" applyFill="1" applyBorder="1" applyAlignment="1">
      <alignment horizontal="center"/>
    </xf>
    <xf numFmtId="0" fontId="56" fillId="12" borderId="23" xfId="26" applyFont="1" applyFill="1" applyBorder="1" applyAlignment="1">
      <alignment horizontal="center"/>
    </xf>
    <xf numFmtId="0" fontId="56" fillId="12" borderId="0" xfId="26" applyFont="1" applyFill="1">
      <alignment horizontal="center" vertical="center"/>
    </xf>
    <xf numFmtId="0" fontId="56" fillId="11" borderId="23" xfId="26" applyFont="1" applyFill="1" applyBorder="1" applyAlignment="1">
      <alignment horizontal="left"/>
    </xf>
    <xf numFmtId="49" fontId="56" fillId="11" borderId="23" xfId="26" applyNumberFormat="1" applyFont="1" applyFill="1" applyBorder="1" applyAlignment="1">
      <alignment horizontal="center"/>
    </xf>
    <xf numFmtId="0" fontId="56" fillId="11" borderId="23" xfId="26" applyFont="1" applyFill="1" applyBorder="1" applyAlignment="1">
      <alignment horizontal="center"/>
    </xf>
    <xf numFmtId="0" fontId="56" fillId="11" borderId="23" xfId="26" quotePrefix="1" applyFont="1" applyFill="1" applyBorder="1" applyAlignment="1">
      <alignment horizontal="left"/>
    </xf>
    <xf numFmtId="49" fontId="56" fillId="11" borderId="23" xfId="26" quotePrefix="1" applyNumberFormat="1" applyFont="1" applyFill="1" applyBorder="1" applyAlignment="1">
      <alignment horizontal="center"/>
    </xf>
    <xf numFmtId="0" fontId="56" fillId="0" borderId="0" xfId="26" applyFont="1" applyFill="1">
      <alignment horizontal="center" vertical="center"/>
    </xf>
    <xf numFmtId="0" fontId="56" fillId="4" borderId="23" xfId="26" applyFont="1" applyFill="1" applyBorder="1" applyAlignment="1">
      <alignment horizontal="left"/>
    </xf>
    <xf numFmtId="49" fontId="56" fillId="4" borderId="23" xfId="26" applyNumberFormat="1" applyFont="1" applyFill="1" applyBorder="1" applyAlignment="1">
      <alignment horizontal="center"/>
    </xf>
    <xf numFmtId="0" fontId="56" fillId="4" borderId="23" xfId="26" applyFont="1" applyFill="1" applyBorder="1" applyAlignment="1">
      <alignment horizontal="center"/>
    </xf>
    <xf numFmtId="0" fontId="56" fillId="4" borderId="23" xfId="26" quotePrefix="1" applyFont="1" applyFill="1" applyBorder="1" applyAlignment="1">
      <alignment horizontal="left"/>
    </xf>
    <xf numFmtId="49" fontId="56" fillId="4" borderId="23" xfId="26" quotePrefix="1" applyNumberFormat="1" applyFont="1" applyFill="1" applyBorder="1" applyAlignment="1">
      <alignment horizontal="center"/>
    </xf>
    <xf numFmtId="0" fontId="56" fillId="12" borderId="23" xfId="26" quotePrefix="1" applyFont="1" applyFill="1" applyBorder="1" applyAlignment="1">
      <alignment horizontal="left"/>
    </xf>
    <xf numFmtId="49" fontId="56" fillId="12" borderId="23" xfId="26" quotePrefix="1" applyNumberFormat="1" applyFont="1" applyFill="1" applyBorder="1" applyAlignment="1">
      <alignment horizontal="center"/>
    </xf>
    <xf numFmtId="0" fontId="56" fillId="11" borderId="0" xfId="26" applyFont="1" applyFill="1" applyBorder="1" applyAlignment="1" applyProtection="1">
      <alignment horizontal="left" vertical="center"/>
      <protection locked="0"/>
    </xf>
    <xf numFmtId="3" fontId="56" fillId="0" borderId="23" xfId="46" applyNumberFormat="1" applyFont="1" applyFill="1" applyBorder="1" applyAlignment="1" applyProtection="1">
      <alignment horizontal="center"/>
      <protection locked="0"/>
    </xf>
    <xf numFmtId="49" fontId="56" fillId="3" borderId="23" xfId="26" quotePrefix="1" applyNumberFormat="1" applyFont="1" applyFill="1" applyBorder="1" applyAlignment="1">
      <alignment horizontal="center"/>
    </xf>
    <xf numFmtId="0" fontId="56" fillId="8" borderId="23" xfId="26" applyFont="1" applyFill="1" applyBorder="1" applyAlignment="1">
      <alignment horizontal="left"/>
    </xf>
    <xf numFmtId="49" fontId="56" fillId="8" borderId="23" xfId="26" quotePrefix="1" applyNumberFormat="1" applyFont="1" applyFill="1" applyBorder="1" applyAlignment="1">
      <alignment horizontal="center"/>
    </xf>
    <xf numFmtId="0" fontId="56" fillId="8" borderId="23" xfId="26" applyFont="1" applyFill="1" applyBorder="1" applyAlignment="1">
      <alignment horizontal="center"/>
    </xf>
    <xf numFmtId="0" fontId="56" fillId="13" borderId="0" xfId="26" applyFont="1" applyFill="1" applyBorder="1" applyAlignment="1" applyProtection="1">
      <alignment horizontal="left" vertical="center"/>
      <protection locked="0"/>
    </xf>
    <xf numFmtId="49" fontId="56" fillId="13" borderId="23" xfId="26" quotePrefix="1" applyNumberFormat="1" applyFont="1" applyFill="1" applyBorder="1" applyAlignment="1">
      <alignment horizontal="center"/>
    </xf>
    <xf numFmtId="0" fontId="56" fillId="13" borderId="23" xfId="26" applyFont="1" applyFill="1" applyBorder="1" applyAlignment="1">
      <alignment horizontal="left"/>
    </xf>
    <xf numFmtId="0" fontId="56" fillId="13" borderId="23" xfId="26" applyFont="1" applyFill="1" applyBorder="1" applyAlignment="1">
      <alignment horizontal="center"/>
    </xf>
    <xf numFmtId="0" fontId="56" fillId="0" borderId="23" xfId="26" applyFont="1" applyFill="1" applyBorder="1" applyAlignment="1">
      <alignment horizontal="left"/>
    </xf>
    <xf numFmtId="49" fontId="56" fillId="0" borderId="23" xfId="46" applyNumberFormat="1" applyFont="1" applyFill="1" applyBorder="1" applyAlignment="1">
      <alignment horizontal="center"/>
    </xf>
    <xf numFmtId="0" fontId="56" fillId="0" borderId="23" xfId="26" applyFont="1" applyFill="1" applyBorder="1" applyAlignment="1">
      <alignment horizontal="center"/>
    </xf>
    <xf numFmtId="0" fontId="56" fillId="0" borderId="23" xfId="26" applyFont="1" applyFill="1" applyBorder="1" applyAlignment="1">
      <alignment horizontal="left" wrapText="1"/>
    </xf>
    <xf numFmtId="49" fontId="56" fillId="12" borderId="23" xfId="46" quotePrefix="1" applyNumberFormat="1" applyFont="1" applyFill="1" applyBorder="1" applyAlignment="1">
      <alignment horizontal="center"/>
    </xf>
    <xf numFmtId="49" fontId="56" fillId="8" borderId="23" xfId="26" applyNumberFormat="1" applyFont="1" applyFill="1" applyBorder="1" applyAlignment="1">
      <alignment horizontal="center"/>
    </xf>
    <xf numFmtId="16" fontId="56" fillId="12" borderId="23" xfId="26" quotePrefix="1" applyNumberFormat="1" applyFont="1" applyFill="1" applyBorder="1" applyAlignment="1">
      <alignment horizontal="left"/>
    </xf>
    <xf numFmtId="0" fontId="56" fillId="0" borderId="23" xfId="26" quotePrefix="1" applyFont="1" applyBorder="1" applyAlignment="1">
      <alignment horizontal="left"/>
    </xf>
    <xf numFmtId="0" fontId="56" fillId="8" borderId="23" xfId="26" quotePrefix="1" applyFont="1" applyFill="1" applyBorder="1" applyAlignment="1">
      <alignment horizontal="left"/>
    </xf>
    <xf numFmtId="43" fontId="56" fillId="11" borderId="23" xfId="15" applyFont="1" applyFill="1" applyBorder="1" applyAlignment="1" applyProtection="1">
      <alignment horizontal="left"/>
      <protection locked="0"/>
    </xf>
    <xf numFmtId="49" fontId="57" fillId="11" borderId="23" xfId="26" applyNumberFormat="1" applyFont="1" applyFill="1" applyBorder="1" applyAlignment="1">
      <alignment horizontal="center"/>
    </xf>
    <xf numFmtId="43" fontId="56" fillId="12" borderId="23" xfId="15" applyFont="1" applyFill="1" applyBorder="1" applyAlignment="1" applyProtection="1">
      <alignment horizontal="left"/>
      <protection locked="0"/>
    </xf>
    <xf numFmtId="43" fontId="56" fillId="11" borderId="32" xfId="15" applyFont="1" applyFill="1" applyBorder="1" applyAlignment="1" applyProtection="1">
      <alignment horizontal="left"/>
      <protection locked="0"/>
    </xf>
    <xf numFmtId="49" fontId="56" fillId="0" borderId="23" xfId="26" quotePrefix="1" applyNumberFormat="1" applyFont="1" applyFill="1" applyBorder="1" applyAlignment="1">
      <alignment horizontal="center"/>
    </xf>
    <xf numFmtId="0" fontId="56" fillId="0" borderId="23" xfId="26" applyFont="1" applyBorder="1" applyAlignment="1">
      <alignment horizontal="left" vertical="center"/>
    </xf>
    <xf numFmtId="0" fontId="56" fillId="11" borderId="24" xfId="26" applyFont="1" applyFill="1" applyBorder="1" applyAlignment="1">
      <alignment horizontal="left" vertical="center"/>
    </xf>
    <xf numFmtId="0" fontId="56" fillId="11" borderId="23" xfId="26" applyFont="1" applyFill="1" applyBorder="1" applyAlignment="1" applyProtection="1">
      <alignment horizontal="left" vertical="center"/>
      <protection hidden="1"/>
    </xf>
    <xf numFmtId="0" fontId="66" fillId="0" borderId="0" xfId="26" applyFont="1" applyFill="1" applyBorder="1" applyAlignment="1" applyProtection="1">
      <alignment horizontal="left" vertical="center"/>
    </xf>
    <xf numFmtId="0" fontId="56" fillId="0" borderId="24" xfId="26" applyFont="1" applyBorder="1" applyAlignment="1">
      <alignment horizontal="left" vertical="center"/>
    </xf>
    <xf numFmtId="49" fontId="56" fillId="0" borderId="0" xfId="26" applyNumberFormat="1" applyFont="1" applyAlignment="1">
      <alignment horizontal="center"/>
    </xf>
    <xf numFmtId="0" fontId="56" fillId="0" borderId="0" xfId="26" applyFont="1" applyAlignment="1"/>
    <xf numFmtId="0" fontId="56" fillId="0" borderId="0" xfId="26" applyFont="1" applyAlignment="1">
      <alignment horizontal="centerContinuous"/>
    </xf>
    <xf numFmtId="0" fontId="56" fillId="0" borderId="1" xfId="26" applyFont="1" applyBorder="1" applyAlignment="1">
      <alignment horizontal="left"/>
    </xf>
    <xf numFmtId="49" fontId="56" fillId="0" borderId="1" xfId="26" applyNumberFormat="1" applyFont="1" applyBorder="1" applyAlignment="1">
      <alignment horizontal="center"/>
    </xf>
    <xf numFmtId="0" fontId="56" fillId="0" borderId="1" xfId="26" applyFont="1" applyBorder="1" applyAlignment="1">
      <alignment horizontal="center"/>
    </xf>
    <xf numFmtId="49" fontId="57" fillId="12" borderId="23" xfId="26" quotePrefix="1" applyNumberFormat="1" applyFont="1" applyFill="1" applyBorder="1" applyAlignment="1">
      <alignment horizontal="center"/>
    </xf>
    <xf numFmtId="49" fontId="57" fillId="8" borderId="23" xfId="26" quotePrefix="1" applyNumberFormat="1" applyFont="1" applyFill="1" applyBorder="1" applyAlignment="1">
      <alignment horizontal="center"/>
    </xf>
    <xf numFmtId="0" fontId="56" fillId="0" borderId="23" xfId="26" applyFont="1" applyBorder="1" applyAlignment="1">
      <alignment horizontal="left" wrapText="1"/>
    </xf>
    <xf numFmtId="49" fontId="56" fillId="3" borderId="23" xfId="26" applyNumberFormat="1" applyFont="1" applyFill="1" applyBorder="1" applyAlignment="1">
      <alignment horizontal="center"/>
    </xf>
    <xf numFmtId="0" fontId="56" fillId="13" borderId="23" xfId="26" quotePrefix="1" applyFont="1" applyFill="1" applyBorder="1" applyAlignment="1">
      <alignment horizontal="left"/>
    </xf>
    <xf numFmtId="49" fontId="57" fillId="0" borderId="23" xfId="26" quotePrefix="1" applyNumberFormat="1" applyFont="1" applyBorder="1" applyAlignment="1">
      <alignment horizontal="center"/>
    </xf>
    <xf numFmtId="49" fontId="57" fillId="13" borderId="23" xfId="26" quotePrefix="1" applyNumberFormat="1" applyFont="1" applyFill="1" applyBorder="1" applyAlignment="1">
      <alignment horizontal="center"/>
    </xf>
    <xf numFmtId="0" fontId="56" fillId="6" borderId="23" xfId="26" applyFont="1" applyFill="1" applyBorder="1" applyAlignment="1">
      <alignment horizontal="left"/>
    </xf>
    <xf numFmtId="49" fontId="56" fillId="6" borderId="23" xfId="26" quotePrefix="1" applyNumberFormat="1" applyFont="1" applyFill="1" applyBorder="1" applyAlignment="1">
      <alignment horizontal="center"/>
    </xf>
    <xf numFmtId="0" fontId="56" fillId="6" borderId="23" xfId="26" applyFont="1" applyFill="1" applyBorder="1" applyAlignment="1">
      <alignment horizontal="center"/>
    </xf>
    <xf numFmtId="0" fontId="56" fillId="11" borderId="23" xfId="26" applyFont="1" applyFill="1" applyBorder="1" applyAlignment="1">
      <alignment horizontal="left" wrapText="1"/>
    </xf>
    <xf numFmtId="0" fontId="56" fillId="13" borderId="23" xfId="26" applyFont="1" applyFill="1" applyBorder="1" applyAlignment="1">
      <alignment horizontal="left" wrapText="1"/>
    </xf>
    <xf numFmtId="0" fontId="56" fillId="8" borderId="23" xfId="26" applyFont="1" applyFill="1" applyBorder="1" applyAlignment="1">
      <alignment horizontal="left" wrapText="1"/>
    </xf>
    <xf numFmtId="0" fontId="56" fillId="4" borderId="23" xfId="26" applyFont="1" applyFill="1" applyBorder="1" applyAlignment="1">
      <alignment horizontal="left" wrapText="1"/>
    </xf>
    <xf numFmtId="49" fontId="57" fillId="4" borderId="23" xfId="26" quotePrefix="1" applyNumberFormat="1" applyFont="1" applyFill="1" applyBorder="1" applyAlignment="1">
      <alignment horizontal="center"/>
    </xf>
    <xf numFmtId="0" fontId="56" fillId="12" borderId="23" xfId="26" applyFont="1" applyFill="1" applyBorder="1" applyAlignment="1">
      <alignment horizontal="left" wrapText="1"/>
    </xf>
    <xf numFmtId="43" fontId="56" fillId="8" borderId="0" xfId="15" applyFont="1" applyFill="1" applyBorder="1" applyAlignment="1" applyProtection="1">
      <alignment horizontal="left"/>
      <protection locked="0"/>
    </xf>
    <xf numFmtId="49" fontId="56" fillId="13" borderId="23" xfId="26" applyNumberFormat="1" applyFont="1" applyFill="1" applyBorder="1" applyAlignment="1">
      <alignment horizontal="center"/>
    </xf>
    <xf numFmtId="0" fontId="56" fillId="0" borderId="0" xfId="26" applyFont="1" applyAlignment="1">
      <alignment horizontal="left" vertical="center"/>
    </xf>
    <xf numFmtId="1" fontId="56" fillId="0" borderId="33" xfId="26" applyNumberFormat="1" applyFont="1" applyBorder="1" applyAlignment="1">
      <alignment horizontal="center"/>
    </xf>
    <xf numFmtId="0" fontId="56" fillId="0" borderId="33" xfId="26" applyFont="1" applyBorder="1" applyAlignment="1">
      <alignment horizontal="left"/>
    </xf>
    <xf numFmtId="0" fontId="56" fillId="0" borderId="33" xfId="26" applyFont="1" applyBorder="1" applyAlignment="1">
      <alignment horizontal="center"/>
    </xf>
    <xf numFmtId="1" fontId="56" fillId="0" borderId="0" xfId="26" applyNumberFormat="1" applyFont="1" applyBorder="1" applyAlignment="1">
      <alignment horizontal="center"/>
    </xf>
    <xf numFmtId="0" fontId="56" fillId="0" borderId="0" xfId="26" applyFont="1" applyBorder="1" applyAlignment="1">
      <alignment horizontal="left"/>
    </xf>
    <xf numFmtId="0" fontId="56" fillId="0" borderId="0" xfId="26" applyFont="1" applyBorder="1" applyAlignment="1">
      <alignment horizontal="center"/>
    </xf>
    <xf numFmtId="0" fontId="56" fillId="3" borderId="0" xfId="26" quotePrefix="1" applyFont="1" applyFill="1" applyBorder="1" applyAlignment="1">
      <alignment horizontal="center"/>
    </xf>
    <xf numFmtId="0" fontId="56" fillId="0" borderId="0" xfId="26" quotePrefix="1" applyFont="1" applyBorder="1" applyAlignment="1">
      <alignment horizontal="left" wrapText="1"/>
    </xf>
    <xf numFmtId="0" fontId="56" fillId="0" borderId="0" xfId="26" applyFont="1" applyAlignment="1">
      <alignment horizontal="center"/>
    </xf>
    <xf numFmtId="0" fontId="56" fillId="5" borderId="23" xfId="26" applyFont="1" applyFill="1" applyBorder="1" applyAlignment="1">
      <alignment horizontal="left"/>
    </xf>
    <xf numFmtId="49" fontId="56" fillId="5" borderId="23" xfId="26" applyNumberFormat="1" applyFont="1" applyFill="1" applyBorder="1" applyAlignment="1">
      <alignment horizontal="center"/>
    </xf>
    <xf numFmtId="0" fontId="56" fillId="5" borderId="23" xfId="26" applyFont="1" applyFill="1" applyBorder="1" applyAlignment="1">
      <alignment horizontal="left" wrapText="1"/>
    </xf>
    <xf numFmtId="0" fontId="56" fillId="5" borderId="23" xfId="26" applyFont="1" applyFill="1" applyBorder="1" applyAlignment="1">
      <alignment horizontal="center"/>
    </xf>
    <xf numFmtId="49" fontId="56" fillId="5" borderId="23" xfId="26" quotePrefix="1" applyNumberFormat="1" applyFont="1" applyFill="1" applyBorder="1" applyAlignment="1">
      <alignment horizontal="center"/>
    </xf>
    <xf numFmtId="49" fontId="56" fillId="13" borderId="23" xfId="26" applyNumberFormat="1" applyFont="1" applyFill="1" applyBorder="1" applyAlignment="1">
      <alignment horizontal="center" wrapText="1"/>
    </xf>
    <xf numFmtId="3" fontId="56" fillId="12" borderId="23" xfId="26" quotePrefix="1" applyNumberFormat="1" applyFont="1" applyFill="1" applyBorder="1" applyAlignment="1">
      <alignment horizontal="center"/>
    </xf>
    <xf numFmtId="0" fontId="56" fillId="8" borderId="23" xfId="26" quotePrefix="1" applyFont="1" applyFill="1" applyBorder="1" applyAlignment="1">
      <alignment horizontal="center"/>
    </xf>
    <xf numFmtId="0" fontId="56" fillId="13" borderId="23" xfId="26" applyFont="1" applyFill="1" applyBorder="1" applyAlignment="1">
      <alignment horizontal="left" vertical="center"/>
    </xf>
    <xf numFmtId="0" fontId="56" fillId="11" borderId="23" xfId="26" applyFont="1" applyFill="1" applyBorder="1" applyAlignment="1">
      <alignment horizontal="left" vertical="center"/>
    </xf>
    <xf numFmtId="0" fontId="56" fillId="4" borderId="23" xfId="26" applyFont="1" applyFill="1" applyBorder="1" applyAlignment="1">
      <alignment horizontal="left" vertical="center"/>
    </xf>
    <xf numFmtId="0" fontId="56" fillId="13" borderId="23" xfId="26" quotePrefix="1" applyFont="1" applyFill="1" applyBorder="1" applyAlignment="1">
      <alignment horizontal="center"/>
    </xf>
    <xf numFmtId="0" fontId="56" fillId="12" borderId="23" xfId="26" quotePrefix="1" applyFont="1" applyFill="1" applyBorder="1" applyAlignment="1">
      <alignment horizontal="center"/>
    </xf>
    <xf numFmtId="0" fontId="56" fillId="0" borderId="23" xfId="26" quotePrefix="1" applyFont="1" applyBorder="1" applyAlignment="1">
      <alignment horizontal="center"/>
    </xf>
    <xf numFmtId="3" fontId="56" fillId="0" borderId="23" xfId="26" quotePrefix="1" applyNumberFormat="1" applyFont="1" applyBorder="1" applyAlignment="1">
      <alignment horizontal="center"/>
    </xf>
    <xf numFmtId="0" fontId="56" fillId="8" borderId="24" xfId="26" applyFont="1" applyFill="1" applyBorder="1" applyAlignment="1">
      <alignment horizontal="left" vertical="center"/>
    </xf>
    <xf numFmtId="3" fontId="56" fillId="8" borderId="23" xfId="26" quotePrefix="1" applyNumberFormat="1" applyFont="1" applyFill="1" applyBorder="1" applyAlignment="1">
      <alignment horizontal="center"/>
    </xf>
    <xf numFmtId="0" fontId="56" fillId="12" borderId="24" xfId="26" applyFont="1" applyFill="1" applyBorder="1" applyAlignment="1">
      <alignment horizontal="left" vertical="center"/>
    </xf>
    <xf numFmtId="3" fontId="56" fillId="12" borderId="23" xfId="45" applyNumberFormat="1" applyFont="1" applyFill="1" applyBorder="1" applyAlignment="1">
      <alignment horizontal="left"/>
    </xf>
    <xf numFmtId="0" fontId="56" fillId="13" borderId="24" xfId="26" applyFont="1" applyFill="1" applyBorder="1" applyAlignment="1">
      <alignment horizontal="left"/>
    </xf>
    <xf numFmtId="0" fontId="56" fillId="11" borderId="23" xfId="26" quotePrefix="1" applyFont="1" applyFill="1" applyBorder="1" applyAlignment="1">
      <alignment horizontal="center"/>
    </xf>
    <xf numFmtId="49" fontId="56" fillId="11" borderId="23" xfId="46" quotePrefix="1" applyNumberFormat="1" applyFont="1" applyFill="1" applyBorder="1" applyAlignment="1">
      <alignment horizontal="center"/>
    </xf>
    <xf numFmtId="49" fontId="56" fillId="0" borderId="24" xfId="26" applyNumberFormat="1" applyFont="1" applyBorder="1" applyAlignment="1">
      <alignment horizontal="center"/>
    </xf>
    <xf numFmtId="49" fontId="56" fillId="8" borderId="24" xfId="26" applyNumberFormat="1" applyFont="1" applyFill="1" applyBorder="1" applyAlignment="1">
      <alignment horizontal="center"/>
    </xf>
    <xf numFmtId="0" fontId="56" fillId="12" borderId="24" xfId="26" applyFont="1" applyFill="1" applyBorder="1" applyAlignment="1">
      <alignment horizontal="center"/>
    </xf>
    <xf numFmtId="3" fontId="56" fillId="13" borderId="23" xfId="26" quotePrefix="1" applyNumberFormat="1" applyFont="1" applyFill="1" applyBorder="1" applyAlignment="1">
      <alignment horizontal="center"/>
    </xf>
    <xf numFmtId="0" fontId="56" fillId="13" borderId="23" xfId="26" applyFont="1" applyFill="1" applyBorder="1" applyAlignment="1" applyProtection="1">
      <alignment horizontal="left" vertical="center"/>
      <protection locked="0"/>
    </xf>
    <xf numFmtId="0" fontId="56" fillId="13" borderId="32" xfId="26" applyFont="1" applyFill="1" applyBorder="1" applyAlignment="1" applyProtection="1">
      <alignment horizontal="left" vertical="center"/>
      <protection locked="0"/>
    </xf>
    <xf numFmtId="43" fontId="56" fillId="4" borderId="23" xfId="15" applyFont="1" applyFill="1" applyBorder="1" applyAlignment="1" applyProtection="1">
      <alignment horizontal="left"/>
      <protection locked="0"/>
    </xf>
    <xf numFmtId="0" fontId="56" fillId="0" borderId="25" xfId="26" applyFont="1" applyBorder="1" applyAlignment="1">
      <alignment horizontal="left" vertical="center"/>
    </xf>
    <xf numFmtId="49" fontId="56" fillId="0" borderId="25" xfId="26" applyNumberFormat="1" applyFont="1" applyBorder="1" applyAlignment="1">
      <alignment horizontal="center"/>
    </xf>
    <xf numFmtId="0" fontId="56" fillId="0" borderId="25" xfId="26" applyFont="1" applyBorder="1">
      <alignment horizontal="center" vertical="center"/>
    </xf>
    <xf numFmtId="0" fontId="56" fillId="12" borderId="29" xfId="26" applyFont="1" applyFill="1" applyBorder="1" applyAlignment="1">
      <alignment horizontal="left"/>
    </xf>
    <xf numFmtId="49" fontId="56" fillId="12" borderId="29" xfId="26" applyNumberFormat="1" applyFont="1" applyFill="1" applyBorder="1" applyAlignment="1">
      <alignment horizontal="center"/>
    </xf>
    <xf numFmtId="0" fontId="56" fillId="12" borderId="29" xfId="26" applyFont="1" applyFill="1" applyBorder="1" applyAlignment="1">
      <alignment horizontal="center"/>
    </xf>
    <xf numFmtId="0" fontId="77" fillId="0" borderId="23" xfId="26" applyFont="1" applyBorder="1" applyAlignment="1" applyProtection="1">
      <alignment horizontal="left"/>
    </xf>
    <xf numFmtId="0" fontId="56" fillId="0" borderId="23" xfId="26" applyFont="1" applyBorder="1" applyAlignment="1" applyProtection="1">
      <alignment horizontal="left"/>
      <protection hidden="1"/>
    </xf>
    <xf numFmtId="0" fontId="56" fillId="0" borderId="23" xfId="26" applyFont="1" applyBorder="1" applyAlignment="1">
      <alignment horizontal="center" vertical="center"/>
    </xf>
    <xf numFmtId="0" fontId="56" fillId="0" borderId="23" xfId="26" applyFont="1" applyBorder="1">
      <alignment horizontal="center" vertical="center"/>
    </xf>
    <xf numFmtId="0" fontId="56" fillId="14" borderId="0" xfId="26" applyFont="1" applyFill="1" applyAlignment="1">
      <alignment horizontal="left" vertical="center"/>
    </xf>
    <xf numFmtId="0" fontId="56" fillId="15" borderId="0" xfId="26" applyFont="1" applyFill="1" applyAlignment="1">
      <alignment horizontal="left" vertical="center"/>
    </xf>
    <xf numFmtId="0" fontId="56" fillId="16" borderId="0" xfId="26" applyFont="1" applyFill="1" applyAlignment="1">
      <alignment horizontal="left" vertical="center"/>
    </xf>
    <xf numFmtId="0" fontId="2" fillId="0" borderId="0" xfId="26" applyAlignment="1">
      <alignment horizontal="left" vertical="center"/>
    </xf>
    <xf numFmtId="0" fontId="65" fillId="7" borderId="5" xfId="44" applyNumberFormat="1" applyFont="1" applyFill="1" applyBorder="1" applyAlignment="1">
      <alignment horizontal="center" vertical="center" wrapText="1"/>
    </xf>
    <xf numFmtId="164" fontId="106" fillId="8" borderId="23" xfId="15" applyNumberFormat="1" applyFont="1" applyFill="1" applyBorder="1" applyAlignment="1" applyProtection="1">
      <alignment horizontal="center" vertical="center"/>
    </xf>
    <xf numFmtId="164" fontId="106" fillId="0" borderId="23" xfId="15" applyNumberFormat="1" applyFont="1" applyFill="1" applyBorder="1" applyAlignment="1" applyProtection="1">
      <alignment horizontal="center" vertical="center"/>
    </xf>
    <xf numFmtId="164" fontId="29" fillId="0" borderId="23" xfId="15" applyNumberFormat="1" applyFont="1" applyFill="1" applyBorder="1" applyAlignment="1" applyProtection="1">
      <alignment vertical="center"/>
      <protection hidden="1"/>
    </xf>
    <xf numFmtId="41" fontId="13" fillId="0" borderId="23" xfId="15" applyNumberFormat="1" applyFont="1" applyFill="1" applyBorder="1" applyAlignment="1" applyProtection="1">
      <alignment vertical="center"/>
      <protection hidden="1"/>
    </xf>
    <xf numFmtId="0" fontId="13" fillId="0" borderId="25" xfId="44" applyFont="1" applyFill="1" applyBorder="1" applyAlignment="1" applyProtection="1">
      <alignment vertical="center"/>
      <protection hidden="1"/>
    </xf>
    <xf numFmtId="0" fontId="74" fillId="0" borderId="23" xfId="44" applyFont="1" applyFill="1" applyBorder="1" applyAlignment="1" applyProtection="1">
      <alignment vertical="center"/>
      <protection hidden="1"/>
    </xf>
    <xf numFmtId="164" fontId="71" fillId="8" borderId="23" xfId="15" applyNumberFormat="1" applyFont="1" applyFill="1" applyBorder="1" applyAlignment="1" applyProtection="1">
      <alignment horizontal="left" vertical="center"/>
    </xf>
    <xf numFmtId="0" fontId="107" fillId="7" borderId="0" xfId="0" applyFont="1" applyFill="1" applyAlignment="1">
      <alignment horizontal="center" vertical="center" wrapText="1"/>
    </xf>
    <xf numFmtId="0" fontId="29" fillId="0" borderId="0" xfId="0" applyFont="1" applyFill="1" applyBorder="1" applyAlignment="1">
      <alignment horizontal="center" vertical="center" wrapText="1"/>
    </xf>
  </cellXfs>
  <cellStyles count="195">
    <cellStyle name="_x0001_" xfId="48"/>
    <cellStyle name="???_95" xfId="49"/>
    <cellStyle name="??_(????)??????" xfId="50"/>
    <cellStyle name="_KT (2)" xfId="51"/>
    <cellStyle name="_KT (2)_1" xfId="52"/>
    <cellStyle name="_KT (2)_1_Lora-tungchau" xfId="53"/>
    <cellStyle name="_KT (2)_1_Qt-HT3PQ1(CauKho)" xfId="54"/>
    <cellStyle name="_KT (2)_2" xfId="55"/>
    <cellStyle name="_KT (2)_2_TG-TH" xfId="56"/>
    <cellStyle name="_KT (2)_2_TG-TH_DAU NOI PL-CL TAI PHU LAMHC" xfId="57"/>
    <cellStyle name="_KT (2)_2_TG-TH_Lora-tungchau" xfId="58"/>
    <cellStyle name="_KT (2)_2_TG-TH_Qt-HT3PQ1(CauKho)" xfId="59"/>
    <cellStyle name="_KT (2)_3" xfId="60"/>
    <cellStyle name="_KT (2)_3_TG-TH" xfId="61"/>
    <cellStyle name="_KT (2)_3_TG-TH_Lora-tungchau" xfId="62"/>
    <cellStyle name="_KT (2)_3_TG-TH_Qt-HT3PQ1(CauKho)" xfId="63"/>
    <cellStyle name="_KT (2)_4" xfId="64"/>
    <cellStyle name="_KT (2)_4_DAU NOI PL-CL TAI PHU LAMHC" xfId="65"/>
    <cellStyle name="_KT (2)_4_Lora-tungchau" xfId="66"/>
    <cellStyle name="_KT (2)_4_Qt-HT3PQ1(CauKho)" xfId="67"/>
    <cellStyle name="_KT (2)_4_TG-TH" xfId="68"/>
    <cellStyle name="_KT (2)_5" xfId="69"/>
    <cellStyle name="_KT (2)_5_DAU NOI PL-CL TAI PHU LAMHC" xfId="70"/>
    <cellStyle name="_KT (2)_5_Lora-tungchau" xfId="71"/>
    <cellStyle name="_KT (2)_5_Qt-HT3PQ1(CauKho)" xfId="72"/>
    <cellStyle name="_KT (2)_Lora-tungchau" xfId="73"/>
    <cellStyle name="_KT (2)_Qt-HT3PQ1(CauKho)" xfId="74"/>
    <cellStyle name="_KT (2)_TG-TH" xfId="75"/>
    <cellStyle name="_KT_TG" xfId="76"/>
    <cellStyle name="_KT_TG_1" xfId="77"/>
    <cellStyle name="_KT_TG_1_DAU NOI PL-CL TAI PHU LAMHC" xfId="78"/>
    <cellStyle name="_KT_TG_1_Lora-tungchau" xfId="79"/>
    <cellStyle name="_KT_TG_1_Qt-HT3PQ1(CauKho)" xfId="80"/>
    <cellStyle name="_KT_TG_2" xfId="81"/>
    <cellStyle name="_KT_TG_2_DAU NOI PL-CL TAI PHU LAMHC" xfId="82"/>
    <cellStyle name="_KT_TG_2_Lora-tungchau" xfId="83"/>
    <cellStyle name="_KT_TG_2_Qt-HT3PQ1(CauKho)" xfId="84"/>
    <cellStyle name="_KT_TG_3" xfId="85"/>
    <cellStyle name="_KT_TG_4" xfId="86"/>
    <cellStyle name="_KT_TG_4_Lora-tungchau" xfId="87"/>
    <cellStyle name="_KT_TG_4_Qt-HT3PQ1(CauKho)" xfId="88"/>
    <cellStyle name="_Lora-tungchau" xfId="89"/>
    <cellStyle name="_Qt-HT3PQ1(CauKho)" xfId="90"/>
    <cellStyle name="_TG-TH" xfId="91"/>
    <cellStyle name="_TG-TH_1" xfId="92"/>
    <cellStyle name="_TG-TH_1_DAU NOI PL-CL TAI PHU LAMHC" xfId="93"/>
    <cellStyle name="_TG-TH_1_Lora-tungchau" xfId="94"/>
    <cellStyle name="_TG-TH_1_Qt-HT3PQ1(CauKho)" xfId="95"/>
    <cellStyle name="_TG-TH_2" xfId="96"/>
    <cellStyle name="_TG-TH_2_DAU NOI PL-CL TAI PHU LAMHC" xfId="97"/>
    <cellStyle name="_TG-TH_2_Lora-tungchau" xfId="98"/>
    <cellStyle name="_TG-TH_2_Qt-HT3PQ1(CauKho)" xfId="99"/>
    <cellStyle name="_TG-TH_3" xfId="100"/>
    <cellStyle name="_TG-TH_3_Lora-tungchau" xfId="101"/>
    <cellStyle name="_TG-TH_3_Qt-HT3PQ1(CauKho)" xfId="102"/>
    <cellStyle name="_TG-TH_4" xfId="103"/>
    <cellStyle name="=" xfId="104"/>
    <cellStyle name="¹éºÐÀ²_      " xfId="105"/>
    <cellStyle name="ÅëÈ­ [0]_      " xfId="106"/>
    <cellStyle name="AeE­ [0]_INQUIRY ¿μ¾÷AßAø " xfId="107"/>
    <cellStyle name="ÅëÈ­ [0]_L601CPT" xfId="108"/>
    <cellStyle name="ÅëÈ­_      " xfId="109"/>
    <cellStyle name="AeE­_INQUIRY ¿µ¾÷AßAø " xfId="110"/>
    <cellStyle name="ÅëÈ­_L601CPT" xfId="111"/>
    <cellStyle name="ÄÞ¸¶ [0]_      " xfId="112"/>
    <cellStyle name="AÞ¸¶ [0]_INQUIRY ¿?¾÷AßAø " xfId="113"/>
    <cellStyle name="ÄÞ¸¶ [0]_L601CPT" xfId="114"/>
    <cellStyle name="ÄÞ¸¶_      " xfId="115"/>
    <cellStyle name="AÞ¸¶_INQUIRY ¿?¾÷AßAø " xfId="116"/>
    <cellStyle name="ÄÞ¸¶_L601CPT" xfId="117"/>
    <cellStyle name="AutoFormat Options" xfId="118"/>
    <cellStyle name="C?AØ_¿?¾÷CoE² " xfId="119"/>
    <cellStyle name="Ç¥ÁØ_      " xfId="120"/>
    <cellStyle name="C￥AØ_¿μ¾÷CoE² " xfId="121"/>
    <cellStyle name="Ç¥ÁØ_±¸¹Ì´ëÃ¥" xfId="122"/>
    <cellStyle name="category" xfId="8"/>
    <cellStyle name="Cerrency_Sheet2_XANGDAU" xfId="123"/>
    <cellStyle name="Comma" xfId="1" builtinId="3"/>
    <cellStyle name="Comma 2" xfId="9"/>
    <cellStyle name="Comma 2 2" xfId="10"/>
    <cellStyle name="Comma 2 2 2" xfId="7"/>
    <cellStyle name="Comma 2 3" xfId="124"/>
    <cellStyle name="Comma 3" xfId="11"/>
    <cellStyle name="Comma 3 2" xfId="12"/>
    <cellStyle name="Comma 4" xfId="13"/>
    <cellStyle name="Comma 5" xfId="14"/>
    <cellStyle name="Comma 5 2" xfId="15"/>
    <cellStyle name="Comma0" xfId="125"/>
    <cellStyle name="Co聭ma_Sheet1" xfId="126"/>
    <cellStyle name="Currency0" xfId="127"/>
    <cellStyle name="Date" xfId="128"/>
    <cellStyle name="Fixed" xfId="129"/>
    <cellStyle name="Grey" xfId="16"/>
    <cellStyle name="HEADER" xfId="17"/>
    <cellStyle name="Header1" xfId="18"/>
    <cellStyle name="Header2" xfId="19"/>
    <cellStyle name="Heading 1 2" xfId="130"/>
    <cellStyle name="Heading 2 2" xfId="131"/>
    <cellStyle name="Hyperlink 2" xfId="20"/>
    <cellStyle name="i·0" xfId="132"/>
    <cellStyle name="Input [yellow]" xfId="21"/>
    <cellStyle name="k1" xfId="133"/>
    <cellStyle name="Millares [0]_Well Timing" xfId="134"/>
    <cellStyle name="Millares_Well Timing" xfId="135"/>
    <cellStyle name="Model" xfId="22"/>
    <cellStyle name="Moneda [0]_Well Timing" xfId="136"/>
    <cellStyle name="Moneda_Well Timing" xfId="137"/>
    <cellStyle name="n" xfId="138"/>
    <cellStyle name="Normal" xfId="0" builtinId="0"/>
    <cellStyle name="Normal - Style1" xfId="23"/>
    <cellStyle name="Normal - Style1 2" xfId="24"/>
    <cellStyle name="Normal 10" xfId="25"/>
    <cellStyle name="Normal 11" xfId="26"/>
    <cellStyle name="Normal 12" xfId="44"/>
    <cellStyle name="Normal 13" xfId="139"/>
    <cellStyle name="Normal 14" xfId="140"/>
    <cellStyle name="Normal 15" xfId="141"/>
    <cellStyle name="Normal 16" xfId="142"/>
    <cellStyle name="Normal 17" xfId="143"/>
    <cellStyle name="Normal 18" xfId="144"/>
    <cellStyle name="Normal 19" xfId="145"/>
    <cellStyle name="Normal 2" xfId="4"/>
    <cellStyle name="Normal 2 2" xfId="27"/>
    <cellStyle name="Normal 2 2 2" xfId="28"/>
    <cellStyle name="Normal 2 3" xfId="5"/>
    <cellStyle name="Normal 2 4" xfId="29"/>
    <cellStyle name="Normal 2 5" xfId="47"/>
    <cellStyle name="Normal 20" xfId="146"/>
    <cellStyle name="Normal 21" xfId="147"/>
    <cellStyle name="Normal 22" xfId="148"/>
    <cellStyle name="Normal 23" xfId="149"/>
    <cellStyle name="Normal 24" xfId="150"/>
    <cellStyle name="Normal 25" xfId="151"/>
    <cellStyle name="Normal 3" xfId="3"/>
    <cellStyle name="Normal 3 2" xfId="6"/>
    <cellStyle name="Normal 3 3" xfId="30"/>
    <cellStyle name="Normal 4" xfId="31"/>
    <cellStyle name="Normal 5" xfId="32"/>
    <cellStyle name="Normal 5 2" xfId="33"/>
    <cellStyle name="Normal 6" xfId="34"/>
    <cellStyle name="Normal 7" xfId="35"/>
    <cellStyle name="Normal 8" xfId="36"/>
    <cellStyle name="Normal 9" xfId="37"/>
    <cellStyle name="Normal_DT_LR-CHUNG SU" xfId="43"/>
    <cellStyle name="Normal_DU TOANTICH THIEN2" xfId="46"/>
    <cellStyle name="Normal_Vinh Trach Dong(hc)" xfId="45"/>
    <cellStyle name="Percent" xfId="2" builtinId="5"/>
    <cellStyle name="Percent [2]" xfId="38"/>
    <cellStyle name="Percent 2" xfId="39"/>
    <cellStyle name="Percent 3" xfId="40"/>
    <cellStyle name="RedComma[0]" xfId="152"/>
    <cellStyle name="S—_x0008_" xfId="153"/>
    <cellStyle name="S¬" xfId="41"/>
    <cellStyle name="Siêu nối kết_Book1" xfId="154"/>
    <cellStyle name="Style 1" xfId="155"/>
    <cellStyle name="Style 10" xfId="156"/>
    <cellStyle name="Style 11" xfId="157"/>
    <cellStyle name="Style 12" xfId="158"/>
    <cellStyle name="Style 2" xfId="159"/>
    <cellStyle name="Style 3" xfId="160"/>
    <cellStyle name="Style 4" xfId="161"/>
    <cellStyle name="Style 5" xfId="162"/>
    <cellStyle name="Style 6" xfId="163"/>
    <cellStyle name="Style 7" xfId="164"/>
    <cellStyle name="Style 8" xfId="165"/>
    <cellStyle name="Style 9" xfId="166"/>
    <cellStyle name="Style Date" xfId="167"/>
    <cellStyle name="subhead" xfId="42"/>
    <cellStyle name="T" xfId="168"/>
    <cellStyle name="T_Ht-PTq1-03" xfId="169"/>
    <cellStyle name="Text" xfId="170"/>
    <cellStyle name="th" xfId="171"/>
    <cellStyle name="Total 2" xfId="172"/>
    <cellStyle name="viet" xfId="173"/>
    <cellStyle name="viet2" xfId="174"/>
    <cellStyle name=" [0.00]_ Att. 1- Cover" xfId="175"/>
    <cellStyle name="_ Att. 1- Cover" xfId="176"/>
    <cellStyle name="?_ Att. 1- Cover" xfId="177"/>
    <cellStyle name="똿뗦먛귟 [0.00]_PRODUCT DETAIL Q1" xfId="178"/>
    <cellStyle name="똿뗦먛귟_PRODUCT DETAIL Q1" xfId="179"/>
    <cellStyle name="믅됞 [0.00]_PRODUCT DETAIL Q1" xfId="180"/>
    <cellStyle name="믅됞_PRODUCT DETAIL Q1" xfId="181"/>
    <cellStyle name="백분율_95" xfId="182"/>
    <cellStyle name="뷭?_BOOKSHIP" xfId="183"/>
    <cellStyle name="콤마 [0]_1202" xfId="184"/>
    <cellStyle name="콤마_1202" xfId="185"/>
    <cellStyle name="통화 [0]_1202" xfId="186"/>
    <cellStyle name="통화_1202" xfId="187"/>
    <cellStyle name="표준_(정보부문)월별인원계획" xfId="188"/>
    <cellStyle name="一般_99Q3647-ALL-CAS2" xfId="189"/>
    <cellStyle name="千分位[0]_Book1" xfId="190"/>
    <cellStyle name="千分位_99Q3647-ALL-CAS2" xfId="191"/>
    <cellStyle name="貨幣 [0]_Book1" xfId="192"/>
    <cellStyle name="貨幣[0]_BRE" xfId="193"/>
    <cellStyle name="貨幣_Book1" xfId="194"/>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3"/>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7</xdr:col>
      <xdr:colOff>428200</xdr:colOff>
      <xdr:row>28</xdr:row>
      <xdr:rowOff>0</xdr:rowOff>
    </xdr:from>
    <xdr:to>
      <xdr:col>15</xdr:col>
      <xdr:colOff>504455</xdr:colOff>
      <xdr:row>106</xdr:row>
      <xdr:rowOff>62954</xdr:rowOff>
    </xdr:to>
    <xdr:sp macro="" textlink="">
      <xdr:nvSpPr>
        <xdr:cNvPr id="2" name="rect" hidden="1"/>
        <xdr:cNvSpPr/>
      </xdr:nvSpPr>
      <xdr:spPr>
        <a:xfrm>
          <a:off x="7385260" y="5282803"/>
          <a:ext cx="6012235" cy="2064871"/>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1</xdr:col>
      <xdr:colOff>0</xdr:colOff>
      <xdr:row>0</xdr:row>
      <xdr:rowOff>0</xdr:rowOff>
    </xdr:from>
    <xdr:to>
      <xdr:col>7</xdr:col>
      <xdr:colOff>85390</xdr:colOff>
      <xdr:row>4</xdr:row>
      <xdr:rowOff>113674</xdr:rowOff>
    </xdr:to>
    <xdr:grpSp>
      <xdr:nvGrpSpPr>
        <xdr:cNvPr id="3" name=" "/>
        <xdr:cNvGrpSpPr/>
      </xdr:nvGrpSpPr>
      <xdr:grpSpPr>
        <a:xfrm>
          <a:off x="1463040" y="0"/>
          <a:ext cx="6562390" cy="1195714"/>
          <a:chOff x="1" y="9818"/>
          <a:chExt cx="6280355" cy="1055304"/>
        </a:xfrm>
      </xdr:grpSpPr>
      <xdr:grpSp>
        <xdr:nvGrpSpPr>
          <xdr:cNvPr id="4" name=" "/>
          <xdr:cNvGrpSpPr/>
        </xdr:nvGrpSpPr>
        <xdr:grpSpPr>
          <a:xfrm>
            <a:off x="1" y="9818"/>
            <a:ext cx="6280355" cy="1055304"/>
            <a:chOff x="6610352" y="1981200"/>
            <a:chExt cx="6167963" cy="860528"/>
          </a:xfrm>
        </xdr:grpSpPr>
        <xdr:sp macro="" textlink="">
          <xdr:nvSpPr>
            <xdr:cNvPr id="7" name=" "/>
            <xdr:cNvSpPr txBox="1"/>
          </xdr:nvSpPr>
          <xdr:spPr>
            <a:xfrm>
              <a:off x="6610352" y="1981200"/>
              <a:ext cx="2787353" cy="860528"/>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a:solidFill>
                    <a:srgbClr val="000000"/>
                  </a:solidFill>
                  <a:latin typeface="Times New Roman" panose="00000000000000000000" charset="0"/>
                  <a:ea typeface="Times New Roman" panose="00000000000000000000" charset="0"/>
                </a:rPr>
                <a:t>CÔNG TY TNHH MỘT THÀNH VIÊN</a:t>
              </a:r>
            </a:p>
            <a:p>
              <a:pPr algn="ctr"/>
              <a:r>
                <a:rPr lang="en-US" altLang="zh-CN" sz="1200">
                  <a:solidFill>
                    <a:srgbClr val="000000"/>
                  </a:solidFill>
                  <a:latin typeface="Times New Roman" panose="00000000000000000000" charset="0"/>
                  <a:ea typeface="Times New Roman" panose="00000000000000000000" charset="0"/>
                </a:rPr>
                <a:t>ĐIỆN LỰC ĐỒNG NAI</a:t>
              </a:r>
            </a:p>
            <a:p>
              <a:pPr algn="ctr"/>
              <a:r>
                <a:rPr lang="en-US" altLang="zh-CN" sz="1300" b="1">
                  <a:solidFill>
                    <a:srgbClr val="000000"/>
                  </a:solidFill>
                  <a:latin typeface="Times New Roman" panose="00000000000000000000" charset="0"/>
                  <a:ea typeface="Times New Roman" panose="00000000000000000000" charset="0"/>
                </a:rPr>
                <a:t>ĐIỆN LỰC XUÂN LỘC</a:t>
              </a:r>
            </a:p>
            <a:p>
              <a:pPr algn="ctr"/>
              <a:endParaRPr/>
            </a:p>
            <a:p>
              <a:pPr algn="ctr"/>
              <a:r>
                <a:rPr lang="en-US" altLang="zh-CN" sz="1200">
                  <a:solidFill>
                    <a:srgbClr val="000000"/>
                  </a:solidFill>
                  <a:latin typeface="Times New Roman" panose="00000000000000000000" charset="0"/>
                  <a:ea typeface="Times New Roman" panose="00000000000000000000" charset="0"/>
                </a:rPr>
                <a:t>Số:            /BB-ĐLXL</a:t>
              </a:r>
            </a:p>
          </xdr:txBody>
        </xdr:sp>
        <xdr:sp macro="" textlink="">
          <xdr:nvSpPr>
            <xdr:cNvPr id="8" name=" "/>
            <xdr:cNvSpPr txBox="1"/>
          </xdr:nvSpPr>
          <xdr:spPr>
            <a:xfrm>
              <a:off x="9237620" y="1988727"/>
              <a:ext cx="3540695" cy="754943"/>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b="1">
                  <a:solidFill>
                    <a:srgbClr val="000000"/>
                  </a:solidFill>
                  <a:latin typeface="Times New Roman" panose="00000000000000000000" charset="0"/>
                  <a:ea typeface="Times New Roman" panose="00000000000000000000" charset="0"/>
                </a:rPr>
                <a:t>CỘNG HÒA XÃ HỘI CHỦ NGHĨA VIỆT NAM</a:t>
              </a:r>
            </a:p>
            <a:p>
              <a:pPr algn="ctr"/>
              <a:r>
                <a:rPr lang="en-US" altLang="zh-CN" sz="1300" b="1">
                  <a:solidFill>
                    <a:srgbClr val="000000"/>
                  </a:solidFill>
                  <a:latin typeface="Times New Roman" panose="00000000000000000000" charset="0"/>
                  <a:ea typeface="Times New Roman" panose="00000000000000000000" charset="0"/>
                </a:rPr>
                <a:t>Độc lập - Tự do - Hạnh phúc</a:t>
              </a:r>
            </a:p>
            <a:p>
              <a:pPr algn="ctr"/>
              <a:endParaRPr/>
            </a:p>
            <a:p>
              <a:pPr algn="ctr"/>
              <a:endParaRPr/>
            </a:p>
            <a:p>
              <a:pPr algn="ctr"/>
              <a:r>
                <a:rPr lang="en-US" altLang="zh-CN" sz="1300" i="1">
                  <a:solidFill>
                    <a:srgbClr val="000000"/>
                  </a:solidFill>
                  <a:latin typeface="Times New Roman" panose="00000000000000000000" charset="0"/>
                  <a:ea typeface="Times New Roman" panose="00000000000000000000" charset="0"/>
                </a:rPr>
                <a:t>Xuân Lộc, ngày        tháng        năm 2017</a:t>
              </a:r>
            </a:p>
          </xdr:txBody>
        </xdr:sp>
      </xdr:grpSp>
      <xdr:sp macro="" textlink="">
        <xdr:nvSpPr>
          <xdr:cNvPr id="5" name="line"/>
          <xdr:cNvSpPr/>
        </xdr:nvSpPr>
        <xdr:spPr>
          <a:xfrm>
            <a:off x="3645844" y="609600"/>
            <a:ext cx="1476375"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sp macro="" textlink="">
        <xdr:nvSpPr>
          <xdr:cNvPr id="6" name="line"/>
          <xdr:cNvSpPr/>
        </xdr:nvSpPr>
        <xdr:spPr>
          <a:xfrm>
            <a:off x="933302" y="602698"/>
            <a:ext cx="952500"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428200</xdr:colOff>
      <xdr:row>18</xdr:row>
      <xdr:rowOff>139303</xdr:rowOff>
    </xdr:from>
    <xdr:to>
      <xdr:col>15</xdr:col>
      <xdr:colOff>504455</xdr:colOff>
      <xdr:row>44</xdr:row>
      <xdr:rowOff>126578</xdr:rowOff>
    </xdr:to>
    <xdr:sp macro="" textlink="">
      <xdr:nvSpPr>
        <xdr:cNvPr id="2" name="rect" hidden="1"/>
        <xdr:cNvSpPr/>
      </xdr:nvSpPr>
      <xdr:spPr>
        <a:xfrm>
          <a:off x="7606240" y="4878943"/>
          <a:ext cx="6012235" cy="189227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1</xdr:col>
      <xdr:colOff>0</xdr:colOff>
      <xdr:row>0</xdr:row>
      <xdr:rowOff>0</xdr:rowOff>
    </xdr:from>
    <xdr:to>
      <xdr:col>7</xdr:col>
      <xdr:colOff>228124</xdr:colOff>
      <xdr:row>4</xdr:row>
      <xdr:rowOff>113674</xdr:rowOff>
    </xdr:to>
    <xdr:grpSp>
      <xdr:nvGrpSpPr>
        <xdr:cNvPr id="3" name=" "/>
        <xdr:cNvGrpSpPr/>
      </xdr:nvGrpSpPr>
      <xdr:grpSpPr>
        <a:xfrm>
          <a:off x="753035" y="0"/>
          <a:ext cx="6646854" cy="1198403"/>
          <a:chOff x="1" y="9818"/>
          <a:chExt cx="6222823" cy="1055304"/>
        </a:xfrm>
      </xdr:grpSpPr>
      <xdr:grpSp>
        <xdr:nvGrpSpPr>
          <xdr:cNvPr id="4" name=" "/>
          <xdr:cNvGrpSpPr/>
        </xdr:nvGrpSpPr>
        <xdr:grpSpPr>
          <a:xfrm>
            <a:off x="1" y="9818"/>
            <a:ext cx="6222823" cy="1055304"/>
            <a:chOff x="6610352" y="1981200"/>
            <a:chExt cx="6111463" cy="860528"/>
          </a:xfrm>
        </xdr:grpSpPr>
        <xdr:sp macro="" textlink="">
          <xdr:nvSpPr>
            <xdr:cNvPr id="7" name=" "/>
            <xdr:cNvSpPr txBox="1"/>
          </xdr:nvSpPr>
          <xdr:spPr>
            <a:xfrm>
              <a:off x="6610352" y="1981200"/>
              <a:ext cx="2728805" cy="860528"/>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a:solidFill>
                    <a:srgbClr val="000000"/>
                  </a:solidFill>
                  <a:latin typeface="Times New Roman" panose="00000000000000000000" charset="0"/>
                  <a:ea typeface="Times New Roman" panose="00000000000000000000" charset="0"/>
                </a:rPr>
                <a:t>CÔNG TY TNHH MỘT THÀNH VIÊN</a:t>
              </a:r>
            </a:p>
            <a:p>
              <a:pPr algn="ctr"/>
              <a:r>
                <a:rPr lang="en-US" altLang="zh-CN" sz="1200">
                  <a:solidFill>
                    <a:srgbClr val="000000"/>
                  </a:solidFill>
                  <a:latin typeface="Times New Roman" panose="00000000000000000000" charset="0"/>
                  <a:ea typeface="Times New Roman" panose="00000000000000000000" charset="0"/>
                </a:rPr>
                <a:t>ĐIỆN LỰC ĐỒNG NAI</a:t>
              </a:r>
            </a:p>
            <a:p>
              <a:pPr algn="ctr"/>
              <a:r>
                <a:rPr lang="en-US" altLang="zh-CN" sz="1300" b="1">
                  <a:solidFill>
                    <a:srgbClr val="000000"/>
                  </a:solidFill>
                  <a:latin typeface="Times New Roman" panose="00000000000000000000" charset="0"/>
                  <a:ea typeface="Times New Roman" panose="00000000000000000000" charset="0"/>
                </a:rPr>
                <a:t>ĐIỆN LỰC XUÂN LỘC</a:t>
              </a:r>
            </a:p>
            <a:p>
              <a:pPr algn="ctr"/>
              <a:endParaRPr/>
            </a:p>
            <a:p>
              <a:pPr algn="ctr"/>
              <a:r>
                <a:rPr lang="en-US" altLang="zh-CN" sz="1200">
                  <a:solidFill>
                    <a:srgbClr val="000000"/>
                  </a:solidFill>
                  <a:latin typeface="Times New Roman" panose="00000000000000000000" charset="0"/>
                  <a:ea typeface="Times New Roman" panose="00000000000000000000" charset="0"/>
                </a:rPr>
                <a:t>Số:            /BB-ĐLXL</a:t>
              </a:r>
            </a:p>
          </xdr:txBody>
        </xdr:sp>
        <xdr:sp macro="" textlink="">
          <xdr:nvSpPr>
            <xdr:cNvPr id="8" name=" "/>
            <xdr:cNvSpPr txBox="1"/>
          </xdr:nvSpPr>
          <xdr:spPr>
            <a:xfrm>
              <a:off x="9136559" y="1988727"/>
              <a:ext cx="3585256" cy="754943"/>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b="1">
                  <a:solidFill>
                    <a:srgbClr val="000000"/>
                  </a:solidFill>
                  <a:latin typeface="Times New Roman" panose="00000000000000000000" charset="0"/>
                  <a:ea typeface="Times New Roman" panose="00000000000000000000" charset="0"/>
                </a:rPr>
                <a:t>CỘNG HÒA XÃ HỘI CHỦ NGHĨA VIỆT NAM</a:t>
              </a:r>
            </a:p>
            <a:p>
              <a:pPr algn="ctr"/>
              <a:r>
                <a:rPr lang="en-US" altLang="zh-CN" sz="1300" b="1">
                  <a:solidFill>
                    <a:srgbClr val="000000"/>
                  </a:solidFill>
                  <a:latin typeface="Times New Roman" panose="00000000000000000000" charset="0"/>
                  <a:ea typeface="Times New Roman" panose="00000000000000000000" charset="0"/>
                </a:rPr>
                <a:t>Độc lập - Tự do - Hạnh phúc</a:t>
              </a:r>
            </a:p>
            <a:p>
              <a:pPr algn="ctr"/>
              <a:endParaRPr/>
            </a:p>
            <a:p>
              <a:pPr algn="ctr"/>
              <a:endParaRPr/>
            </a:p>
            <a:p>
              <a:pPr algn="ctr"/>
              <a:r>
                <a:rPr lang="en-US" altLang="zh-CN" sz="1300" i="1">
                  <a:solidFill>
                    <a:srgbClr val="000000"/>
                  </a:solidFill>
                  <a:latin typeface="Times New Roman" panose="00000000000000000000" charset="0"/>
                  <a:ea typeface="Times New Roman" panose="00000000000000000000" charset="0"/>
                </a:rPr>
                <a:t>Xuân Lộc, ngày        tháng        năm 2017</a:t>
              </a:r>
            </a:p>
          </xdr:txBody>
        </xdr:sp>
      </xdr:grpSp>
      <xdr:sp macro="" textlink="">
        <xdr:nvSpPr>
          <xdr:cNvPr id="5" name="line"/>
          <xdr:cNvSpPr/>
        </xdr:nvSpPr>
        <xdr:spPr>
          <a:xfrm>
            <a:off x="3645844" y="609600"/>
            <a:ext cx="1476375"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sp macro="" textlink="">
        <xdr:nvSpPr>
          <xdr:cNvPr id="6" name="line"/>
          <xdr:cNvSpPr/>
        </xdr:nvSpPr>
        <xdr:spPr>
          <a:xfrm>
            <a:off x="933302" y="602698"/>
            <a:ext cx="952500"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428200</xdr:colOff>
      <xdr:row>23</xdr:row>
      <xdr:rowOff>0</xdr:rowOff>
    </xdr:from>
    <xdr:to>
      <xdr:col>15</xdr:col>
      <xdr:colOff>361506</xdr:colOff>
      <xdr:row>46</xdr:row>
      <xdr:rowOff>265658</xdr:rowOff>
    </xdr:to>
    <xdr:sp macro="" textlink="">
      <xdr:nvSpPr>
        <xdr:cNvPr id="2" name="rect" hidden="1"/>
        <xdr:cNvSpPr/>
      </xdr:nvSpPr>
      <xdr:spPr>
        <a:xfrm>
          <a:off x="6569920" y="7071360"/>
          <a:ext cx="6372206" cy="3656558"/>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752472</xdr:colOff>
      <xdr:row>0</xdr:row>
      <xdr:rowOff>0</xdr:rowOff>
    </xdr:from>
    <xdr:to>
      <xdr:col>8</xdr:col>
      <xdr:colOff>75904</xdr:colOff>
      <xdr:row>4</xdr:row>
      <xdr:rowOff>151566</xdr:rowOff>
    </xdr:to>
    <xdr:grpSp>
      <xdr:nvGrpSpPr>
        <xdr:cNvPr id="3" name=" "/>
        <xdr:cNvGrpSpPr/>
      </xdr:nvGrpSpPr>
      <xdr:grpSpPr>
        <a:xfrm>
          <a:off x="752472" y="0"/>
          <a:ext cx="6539572" cy="1264086"/>
          <a:chOff x="-20608" y="9818"/>
          <a:chExt cx="6593740" cy="1055304"/>
        </a:xfrm>
      </xdr:grpSpPr>
      <xdr:grpSp>
        <xdr:nvGrpSpPr>
          <xdr:cNvPr id="4" name=" "/>
          <xdr:cNvGrpSpPr/>
        </xdr:nvGrpSpPr>
        <xdr:grpSpPr>
          <a:xfrm>
            <a:off x="-20608" y="9818"/>
            <a:ext cx="6593740" cy="1055304"/>
            <a:chOff x="6590113" y="1981200"/>
            <a:chExt cx="6475743" cy="860528"/>
          </a:xfrm>
        </xdr:grpSpPr>
        <xdr:sp macro="" textlink="">
          <xdr:nvSpPr>
            <xdr:cNvPr id="7" name=" "/>
            <xdr:cNvSpPr txBox="1"/>
          </xdr:nvSpPr>
          <xdr:spPr>
            <a:xfrm>
              <a:off x="6590113" y="1981200"/>
              <a:ext cx="3045772" cy="860528"/>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a:solidFill>
                    <a:srgbClr val="000000"/>
                  </a:solidFill>
                  <a:latin typeface="Times New Roman" panose="00000000000000000000" charset="0"/>
                  <a:ea typeface="Times New Roman" panose="00000000000000000000" charset="0"/>
                </a:rPr>
                <a:t>CÔNG TY TNHH MỘT THÀNH VIÊN</a:t>
              </a:r>
            </a:p>
            <a:p>
              <a:pPr algn="ctr"/>
              <a:r>
                <a:rPr lang="en-US" altLang="zh-CN" sz="1200">
                  <a:solidFill>
                    <a:srgbClr val="000000"/>
                  </a:solidFill>
                  <a:latin typeface="Times New Roman" panose="00000000000000000000" charset="0"/>
                  <a:ea typeface="Times New Roman" panose="00000000000000000000" charset="0"/>
                </a:rPr>
                <a:t>ĐIỆN LỰC ĐỒNG NAI</a:t>
              </a:r>
            </a:p>
            <a:p>
              <a:pPr algn="ctr"/>
              <a:r>
                <a:rPr lang="en-US" altLang="zh-CN" sz="1300" b="1">
                  <a:solidFill>
                    <a:srgbClr val="000000"/>
                  </a:solidFill>
                  <a:latin typeface="Times New Roman" panose="00000000000000000000" charset="0"/>
                  <a:ea typeface="Times New Roman" panose="00000000000000000000" charset="0"/>
                </a:rPr>
                <a:t>ĐIỆN LỰC XUÂN LỘC</a:t>
              </a:r>
            </a:p>
            <a:p>
              <a:pPr algn="ctr"/>
              <a:endParaRPr/>
            </a:p>
            <a:p>
              <a:pPr algn="ctr"/>
              <a:r>
                <a:rPr lang="en-US" altLang="zh-CN" sz="1200">
                  <a:solidFill>
                    <a:srgbClr val="000000"/>
                  </a:solidFill>
                  <a:latin typeface="Times New Roman" panose="00000000000000000000" charset="0"/>
                  <a:ea typeface="Times New Roman" panose="00000000000000000000" charset="0"/>
                </a:rPr>
                <a:t>Số:          /BB-ĐLXL</a:t>
              </a:r>
            </a:p>
          </xdr:txBody>
        </xdr:sp>
        <xdr:sp macro="" textlink="">
          <xdr:nvSpPr>
            <xdr:cNvPr id="8" name=" "/>
            <xdr:cNvSpPr txBox="1"/>
          </xdr:nvSpPr>
          <xdr:spPr>
            <a:xfrm>
              <a:off x="9480600" y="1982203"/>
              <a:ext cx="3585256" cy="709179"/>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b="1">
                  <a:solidFill>
                    <a:srgbClr val="000000"/>
                  </a:solidFill>
                  <a:latin typeface="Times New Roman" panose="00000000000000000000" charset="0"/>
                  <a:ea typeface="Times New Roman" panose="00000000000000000000" charset="0"/>
                </a:rPr>
                <a:t>CỘNG HÒA XÃ HỘI CHỦ NGHĨA VIỆT NAM</a:t>
              </a:r>
            </a:p>
            <a:p>
              <a:pPr algn="ctr"/>
              <a:r>
                <a:rPr lang="en-US" altLang="zh-CN" sz="1300" b="1">
                  <a:solidFill>
                    <a:srgbClr val="000000"/>
                  </a:solidFill>
                  <a:latin typeface="Times New Roman" panose="00000000000000000000" charset="0"/>
                  <a:ea typeface="Times New Roman" panose="00000000000000000000" charset="0"/>
                </a:rPr>
                <a:t>Độc lập - Tự do - Hạnh phúc</a:t>
              </a:r>
            </a:p>
            <a:p>
              <a:pPr algn="ctr"/>
              <a:endParaRPr/>
            </a:p>
            <a:p>
              <a:pPr algn="ctr"/>
              <a:endParaRPr/>
            </a:p>
            <a:p>
              <a:pPr algn="ctr"/>
              <a:r>
                <a:rPr lang="en-US" altLang="zh-CN" sz="1300" i="1">
                  <a:solidFill>
                    <a:srgbClr val="000000"/>
                  </a:solidFill>
                  <a:latin typeface="Times New Roman" panose="00000000000000000000" charset="0"/>
                  <a:ea typeface="Times New Roman" panose="00000000000000000000" charset="0"/>
                </a:rPr>
                <a:t>Xuân Lộc, ngày        tháng        năm 2017</a:t>
              </a:r>
            </a:p>
          </xdr:txBody>
        </xdr:sp>
      </xdr:grpSp>
      <xdr:sp macro="" textlink="">
        <xdr:nvSpPr>
          <xdr:cNvPr id="5" name="line"/>
          <xdr:cNvSpPr/>
        </xdr:nvSpPr>
        <xdr:spPr>
          <a:xfrm>
            <a:off x="3636679" y="577614"/>
            <a:ext cx="1476375"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sp macro="" textlink="">
        <xdr:nvSpPr>
          <xdr:cNvPr id="6" name="line"/>
          <xdr:cNvSpPr/>
        </xdr:nvSpPr>
        <xdr:spPr>
          <a:xfrm>
            <a:off x="942603" y="594186"/>
            <a:ext cx="952500"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428289</xdr:colOff>
      <xdr:row>30</xdr:row>
      <xdr:rowOff>0</xdr:rowOff>
    </xdr:from>
    <xdr:to>
      <xdr:col>13</xdr:col>
      <xdr:colOff>533400</xdr:colOff>
      <xdr:row>38</xdr:row>
      <xdr:rowOff>75783</xdr:rowOff>
    </xdr:to>
    <xdr:sp macro="" textlink="">
      <xdr:nvSpPr>
        <xdr:cNvPr id="2" name="rect" hidden="1"/>
        <xdr:cNvSpPr/>
      </xdr:nvSpPr>
      <xdr:spPr>
        <a:xfrm>
          <a:off x="6653829" y="5539740"/>
          <a:ext cx="5332431" cy="1836003"/>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1</xdr:col>
      <xdr:colOff>0</xdr:colOff>
      <xdr:row>0</xdr:row>
      <xdr:rowOff>0</xdr:rowOff>
    </xdr:from>
    <xdr:to>
      <xdr:col>8</xdr:col>
      <xdr:colOff>104086</xdr:colOff>
      <xdr:row>4</xdr:row>
      <xdr:rowOff>114188</xdr:rowOff>
    </xdr:to>
    <xdr:grpSp>
      <xdr:nvGrpSpPr>
        <xdr:cNvPr id="3" name=" "/>
        <xdr:cNvGrpSpPr/>
      </xdr:nvGrpSpPr>
      <xdr:grpSpPr>
        <a:xfrm>
          <a:off x="754380" y="0"/>
          <a:ext cx="6489646" cy="1272428"/>
          <a:chOff x="1" y="9818"/>
          <a:chExt cx="6222823" cy="1055304"/>
        </a:xfrm>
      </xdr:grpSpPr>
      <xdr:grpSp>
        <xdr:nvGrpSpPr>
          <xdr:cNvPr id="4" name=" "/>
          <xdr:cNvGrpSpPr/>
        </xdr:nvGrpSpPr>
        <xdr:grpSpPr>
          <a:xfrm>
            <a:off x="1" y="9818"/>
            <a:ext cx="6222823" cy="1055304"/>
            <a:chOff x="6610352" y="1981200"/>
            <a:chExt cx="6111463" cy="860528"/>
          </a:xfrm>
        </xdr:grpSpPr>
        <xdr:sp macro="" textlink="">
          <xdr:nvSpPr>
            <xdr:cNvPr id="7" name=" "/>
            <xdr:cNvSpPr txBox="1"/>
          </xdr:nvSpPr>
          <xdr:spPr>
            <a:xfrm>
              <a:off x="6610352" y="1981200"/>
              <a:ext cx="2728805" cy="860528"/>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a:solidFill>
                    <a:srgbClr val="000000"/>
                  </a:solidFill>
                  <a:latin typeface="Times New Roman" panose="00000000000000000000" charset="0"/>
                  <a:ea typeface="Times New Roman" panose="00000000000000000000" charset="0"/>
                </a:rPr>
                <a:t>CÔNG TY TNHH MỘT THÀNH VIÊN</a:t>
              </a:r>
            </a:p>
            <a:p>
              <a:pPr algn="ctr"/>
              <a:r>
                <a:rPr lang="en-US" altLang="zh-CN" sz="1200">
                  <a:solidFill>
                    <a:srgbClr val="000000"/>
                  </a:solidFill>
                  <a:latin typeface="Times New Roman" panose="00000000000000000000" charset="0"/>
                  <a:ea typeface="Times New Roman" panose="00000000000000000000" charset="0"/>
                </a:rPr>
                <a:t>ĐIỆN LỰC ĐỒNG NAI</a:t>
              </a:r>
            </a:p>
            <a:p>
              <a:pPr algn="ctr"/>
              <a:r>
                <a:rPr lang="en-US" altLang="zh-CN" sz="1300" b="1">
                  <a:solidFill>
                    <a:srgbClr val="000000"/>
                  </a:solidFill>
                  <a:latin typeface="Times New Roman" panose="00000000000000000000" charset="0"/>
                  <a:ea typeface="Times New Roman" panose="00000000000000000000" charset="0"/>
                </a:rPr>
                <a:t>ĐIỆN LỰC XUÂN LỘC</a:t>
              </a:r>
            </a:p>
            <a:p>
              <a:pPr algn="ctr"/>
              <a:endParaRPr/>
            </a:p>
            <a:p>
              <a:pPr algn="ctr"/>
              <a:r>
                <a:rPr lang="en-US" altLang="zh-CN" sz="1200">
                  <a:solidFill>
                    <a:srgbClr val="000000"/>
                  </a:solidFill>
                  <a:latin typeface="Times New Roman" panose="00000000000000000000" charset="0"/>
                  <a:ea typeface="Times New Roman" panose="00000000000000000000" charset="0"/>
                </a:rPr>
                <a:t>Số:          /PNVT-ĐLXL</a:t>
              </a:r>
            </a:p>
          </xdr:txBody>
        </xdr:sp>
        <xdr:sp macro="" textlink="">
          <xdr:nvSpPr>
            <xdr:cNvPr id="8" name=" "/>
            <xdr:cNvSpPr txBox="1"/>
          </xdr:nvSpPr>
          <xdr:spPr>
            <a:xfrm>
              <a:off x="9136559" y="1988727"/>
              <a:ext cx="3585256" cy="709179"/>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b="1">
                  <a:solidFill>
                    <a:srgbClr val="000000"/>
                  </a:solidFill>
                  <a:latin typeface="Times New Roman" panose="00000000000000000000" charset="0"/>
                  <a:ea typeface="Times New Roman" panose="00000000000000000000" charset="0"/>
                </a:rPr>
                <a:t>CỘNG HÒA XÃ HỘI CHỦ NGHĨA VIỆT NAM</a:t>
              </a:r>
            </a:p>
            <a:p>
              <a:pPr algn="ctr"/>
              <a:r>
                <a:rPr lang="en-US" altLang="zh-CN" sz="1300" b="1">
                  <a:solidFill>
                    <a:srgbClr val="000000"/>
                  </a:solidFill>
                  <a:latin typeface="Times New Roman" panose="00000000000000000000" charset="0"/>
                  <a:ea typeface="Times New Roman" panose="00000000000000000000" charset="0"/>
                </a:rPr>
                <a:t>Độc lập - Tự do - Hạnh phúc</a:t>
              </a:r>
            </a:p>
            <a:p>
              <a:pPr algn="ctr"/>
              <a:endParaRPr/>
            </a:p>
            <a:p>
              <a:pPr algn="ctr"/>
              <a:endParaRPr/>
            </a:p>
            <a:p>
              <a:pPr algn="ctr"/>
              <a:r>
                <a:rPr lang="en-US" altLang="zh-CN" sz="1300" i="1">
                  <a:solidFill>
                    <a:srgbClr val="000000"/>
                  </a:solidFill>
                  <a:latin typeface="Times New Roman" panose="00000000000000000000" charset="0"/>
                  <a:ea typeface="Times New Roman" panose="00000000000000000000" charset="0"/>
                </a:rPr>
                <a:t>Xuân Lộc, ngày        tháng        năm 2017</a:t>
              </a:r>
            </a:p>
          </xdr:txBody>
        </xdr:sp>
      </xdr:grpSp>
      <xdr:sp macro="" textlink="">
        <xdr:nvSpPr>
          <xdr:cNvPr id="5" name="line"/>
          <xdr:cNvSpPr/>
        </xdr:nvSpPr>
        <xdr:spPr>
          <a:xfrm>
            <a:off x="3636679" y="577614"/>
            <a:ext cx="1476375"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sp macro="" textlink="">
        <xdr:nvSpPr>
          <xdr:cNvPr id="6" name="line"/>
          <xdr:cNvSpPr/>
        </xdr:nvSpPr>
        <xdr:spPr>
          <a:xfrm>
            <a:off x="942603" y="594186"/>
            <a:ext cx="952500"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112</xdr:row>
      <xdr:rowOff>0</xdr:rowOff>
    </xdr:from>
    <xdr:to>
      <xdr:col>12</xdr:col>
      <xdr:colOff>333153</xdr:colOff>
      <xdr:row>120</xdr:row>
      <xdr:rowOff>75783</xdr:rowOff>
    </xdr:to>
    <xdr:sp macro="" textlink="">
      <xdr:nvSpPr>
        <xdr:cNvPr id="2" name="rect" hidden="1"/>
        <xdr:cNvSpPr/>
      </xdr:nvSpPr>
      <xdr:spPr>
        <a:xfrm>
          <a:off x="7147560" y="57812940"/>
          <a:ext cx="6002433" cy="1912203"/>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editAs="oneCell">
    <xdr:from>
      <xdr:col>1</xdr:col>
      <xdr:colOff>0</xdr:colOff>
      <xdr:row>0</xdr:row>
      <xdr:rowOff>0</xdr:rowOff>
    </xdr:from>
    <xdr:to>
      <xdr:col>6</xdr:col>
      <xdr:colOff>100854</xdr:colOff>
      <xdr:row>4</xdr:row>
      <xdr:rowOff>114188</xdr:rowOff>
    </xdr:to>
    <xdr:grpSp>
      <xdr:nvGrpSpPr>
        <xdr:cNvPr id="3" name=" "/>
        <xdr:cNvGrpSpPr/>
      </xdr:nvGrpSpPr>
      <xdr:grpSpPr>
        <a:xfrm>
          <a:off x="753035" y="0"/>
          <a:ext cx="6483725" cy="1270635"/>
          <a:chOff x="1" y="9818"/>
          <a:chExt cx="6239115" cy="1055304"/>
        </a:xfrm>
      </xdr:grpSpPr>
      <xdr:grpSp>
        <xdr:nvGrpSpPr>
          <xdr:cNvPr id="4" name=" "/>
          <xdr:cNvGrpSpPr/>
        </xdr:nvGrpSpPr>
        <xdr:grpSpPr>
          <a:xfrm>
            <a:off x="1" y="9818"/>
            <a:ext cx="6239115" cy="1055304"/>
            <a:chOff x="6610351" y="1981200"/>
            <a:chExt cx="6127463" cy="860528"/>
          </a:xfrm>
        </xdr:grpSpPr>
        <xdr:sp macro="" textlink="">
          <xdr:nvSpPr>
            <xdr:cNvPr id="7" name=" "/>
            <xdr:cNvSpPr txBox="1"/>
          </xdr:nvSpPr>
          <xdr:spPr>
            <a:xfrm>
              <a:off x="6610351" y="1981200"/>
              <a:ext cx="2838712" cy="860528"/>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a:solidFill>
                    <a:srgbClr val="000000"/>
                  </a:solidFill>
                  <a:latin typeface="Times New Roman" panose="00000000000000000000" charset="0"/>
                  <a:ea typeface="Times New Roman" panose="00000000000000000000" charset="0"/>
                </a:rPr>
                <a:t>CÔNG TY TNHH MỘT THÀNH VIÊN</a:t>
              </a:r>
            </a:p>
            <a:p>
              <a:pPr algn="ctr"/>
              <a:r>
                <a:rPr lang="en-US" altLang="zh-CN" sz="1200">
                  <a:solidFill>
                    <a:srgbClr val="000000"/>
                  </a:solidFill>
                  <a:latin typeface="Times New Roman" panose="00000000000000000000" charset="0"/>
                  <a:ea typeface="Times New Roman" panose="00000000000000000000" charset="0"/>
                </a:rPr>
                <a:t>ĐIỆN LỰC ĐỒNG NAI</a:t>
              </a:r>
            </a:p>
            <a:p>
              <a:pPr algn="ctr"/>
              <a:r>
                <a:rPr lang="en-US" altLang="zh-CN" sz="1300" b="1">
                  <a:solidFill>
                    <a:srgbClr val="000000"/>
                  </a:solidFill>
                  <a:latin typeface="Times New Roman" panose="00000000000000000000" charset="0"/>
                  <a:ea typeface="Times New Roman" panose="00000000000000000000" charset="0"/>
                </a:rPr>
                <a:t>ĐIỆN LỰC XUÂN LỘC</a:t>
              </a:r>
            </a:p>
            <a:p>
              <a:pPr algn="ctr"/>
              <a:endParaRPr/>
            </a:p>
            <a:p>
              <a:pPr algn="ctr"/>
              <a:r>
                <a:rPr lang="en-US" altLang="zh-CN" sz="1200">
                  <a:solidFill>
                    <a:srgbClr val="000000"/>
                  </a:solidFill>
                  <a:latin typeface="Times New Roman" panose="00000000000000000000" charset="0"/>
                  <a:ea typeface="Times New Roman" panose="00000000000000000000" charset="0"/>
                </a:rPr>
                <a:t>Số:          /BB-ĐLXL</a:t>
              </a:r>
            </a:p>
          </xdr:txBody>
        </xdr:sp>
        <xdr:sp macro="" textlink="">
          <xdr:nvSpPr>
            <xdr:cNvPr id="8" name=" "/>
            <xdr:cNvSpPr txBox="1"/>
          </xdr:nvSpPr>
          <xdr:spPr>
            <a:xfrm>
              <a:off x="9136559" y="1988727"/>
              <a:ext cx="3601255" cy="709179"/>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b="1">
                  <a:solidFill>
                    <a:srgbClr val="000000"/>
                  </a:solidFill>
                  <a:latin typeface="Times New Roman" panose="00000000000000000000" charset="0"/>
                  <a:ea typeface="Times New Roman" panose="00000000000000000000" charset="0"/>
                </a:rPr>
                <a:t>CỘNG HÒA XÃ HỘI CHỦ NGHĨA VIỆT NAM</a:t>
              </a:r>
            </a:p>
            <a:p>
              <a:pPr algn="ctr"/>
              <a:r>
                <a:rPr lang="en-US" altLang="zh-CN" sz="1300" b="1">
                  <a:solidFill>
                    <a:srgbClr val="000000"/>
                  </a:solidFill>
                  <a:latin typeface="Times New Roman" panose="00000000000000000000" charset="0"/>
                  <a:ea typeface="Times New Roman" panose="00000000000000000000" charset="0"/>
                </a:rPr>
                <a:t>Độc lập - Tự do - Hạnh phúc</a:t>
              </a:r>
            </a:p>
            <a:p>
              <a:pPr algn="ctr"/>
              <a:endParaRPr/>
            </a:p>
            <a:p>
              <a:pPr algn="ctr"/>
              <a:endParaRPr/>
            </a:p>
            <a:p>
              <a:pPr algn="ctr"/>
              <a:r>
                <a:rPr lang="en-US" altLang="zh-CN" sz="1300" i="1">
                  <a:solidFill>
                    <a:srgbClr val="000000"/>
                  </a:solidFill>
                  <a:latin typeface="Times New Roman" panose="00000000000000000000" charset="0"/>
                  <a:ea typeface="Times New Roman" panose="00000000000000000000" charset="0"/>
                </a:rPr>
                <a:t>Xuân Lộc, ngày        tháng        năm 2017</a:t>
              </a:r>
            </a:p>
          </xdr:txBody>
        </xdr:sp>
      </xdr:grpSp>
      <xdr:sp macro="" textlink="">
        <xdr:nvSpPr>
          <xdr:cNvPr id="5" name="line"/>
          <xdr:cNvSpPr/>
        </xdr:nvSpPr>
        <xdr:spPr>
          <a:xfrm>
            <a:off x="3636679" y="577614"/>
            <a:ext cx="1476375"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sp macro="" textlink="">
        <xdr:nvSpPr>
          <xdr:cNvPr id="6" name="line"/>
          <xdr:cNvSpPr/>
        </xdr:nvSpPr>
        <xdr:spPr>
          <a:xfrm>
            <a:off x="942603" y="594186"/>
            <a:ext cx="952500"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9447</xdr:colOff>
      <xdr:row>138</xdr:row>
      <xdr:rowOff>180381</xdr:rowOff>
    </xdr:from>
    <xdr:to>
      <xdr:col>10</xdr:col>
      <xdr:colOff>631928</xdr:colOff>
      <xdr:row>140</xdr:row>
      <xdr:rowOff>114301</xdr:rowOff>
    </xdr:to>
    <xdr:sp macro="" textlink="INFO!#REF!">
      <xdr:nvSpPr>
        <xdr:cNvPr id="7" name=" "/>
        <xdr:cNvSpPr txBox="1"/>
      </xdr:nvSpPr>
      <xdr:spPr>
        <a:xfrm>
          <a:off x="5747307" y="9027201"/>
          <a:ext cx="2573201" cy="360640"/>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fld id="{1225C328-23A5-4EEA-A4C3-4835AC3F1B4A}" type="TxLink">
            <a:rPr lang="en-US" altLang="zh-CN" sz="1400" b="1">
              <a:solidFill>
                <a:srgbClr val="000000"/>
              </a:solidFill>
              <a:latin typeface="Times New Roman" panose="00000000000000000000" charset="0"/>
              <a:ea typeface="Times New Roman" panose="00000000000000000000" charset="0"/>
            </a:rPr>
            <a:pPr algn="ctr"/>
            <a:t>Trần Quang Hoàng</a:t>
          </a:fld>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247293</xdr:colOff>
      <xdr:row>6</xdr:row>
      <xdr:rowOff>24035</xdr:rowOff>
    </xdr:to>
    <xdr:grpSp>
      <xdr:nvGrpSpPr>
        <xdr:cNvPr id="2" name=" "/>
        <xdr:cNvGrpSpPr/>
      </xdr:nvGrpSpPr>
      <xdr:grpSpPr>
        <a:xfrm>
          <a:off x="0" y="0"/>
          <a:ext cx="15247807" cy="1254121"/>
          <a:chOff x="0" y="9818"/>
          <a:chExt cx="6433772" cy="1089617"/>
        </a:xfrm>
      </xdr:grpSpPr>
      <xdr:grpSp>
        <xdr:nvGrpSpPr>
          <xdr:cNvPr id="3" name=" "/>
          <xdr:cNvGrpSpPr/>
        </xdr:nvGrpSpPr>
        <xdr:grpSpPr>
          <a:xfrm>
            <a:off x="0" y="9818"/>
            <a:ext cx="6433772" cy="1089617"/>
            <a:chOff x="6610352" y="1981200"/>
            <a:chExt cx="6318633" cy="888508"/>
          </a:xfrm>
        </xdr:grpSpPr>
        <xdr:sp macro="" textlink="">
          <xdr:nvSpPr>
            <xdr:cNvPr id="6" name=" "/>
            <xdr:cNvSpPr txBox="1"/>
          </xdr:nvSpPr>
          <xdr:spPr>
            <a:xfrm>
              <a:off x="6610352" y="1981200"/>
              <a:ext cx="2843855" cy="860528"/>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a:solidFill>
                    <a:srgbClr val="000000"/>
                  </a:solidFill>
                  <a:latin typeface="Times New Roman" panose="00000000000000000000" charset="0"/>
                  <a:ea typeface="Times New Roman" panose="00000000000000000000" charset="0"/>
                </a:rPr>
                <a:t>CÔNG TY TNHH MỘT THÀNH VIÊN</a:t>
              </a:r>
            </a:p>
            <a:p>
              <a:pPr algn="ctr"/>
              <a:r>
                <a:rPr lang="en-US" altLang="zh-CN" sz="1200">
                  <a:solidFill>
                    <a:srgbClr val="000000"/>
                  </a:solidFill>
                  <a:latin typeface="Times New Roman" panose="00000000000000000000" charset="0"/>
                  <a:ea typeface="Times New Roman" panose="00000000000000000000" charset="0"/>
                </a:rPr>
                <a:t>ĐIỆN LỰC ĐỒNG NAI</a:t>
              </a:r>
            </a:p>
            <a:p>
              <a:pPr algn="ctr"/>
              <a:r>
                <a:rPr lang="en-US" altLang="zh-CN" sz="1300" b="1">
                  <a:solidFill>
                    <a:srgbClr val="000000"/>
                  </a:solidFill>
                  <a:latin typeface="Times New Roman" panose="00000000000000000000" charset="0"/>
                  <a:ea typeface="Times New Roman" panose="00000000000000000000" charset="0"/>
                </a:rPr>
                <a:t>ĐIỆN LỰC XUÂN LỘC</a:t>
              </a:r>
            </a:p>
            <a:p>
              <a:pPr algn="ctr"/>
              <a:endParaRPr/>
            </a:p>
            <a:p>
              <a:pPr algn="ctr"/>
              <a:r>
                <a:rPr lang="en-US" altLang="zh-CN" sz="1200">
                  <a:solidFill>
                    <a:srgbClr val="000000"/>
                  </a:solidFill>
                  <a:latin typeface="Times New Roman" panose="00000000000000000000" charset="0"/>
                  <a:ea typeface="Times New Roman" panose="00000000000000000000" charset="0"/>
                </a:rPr>
                <a:t>Số:            /BB-ĐLXL</a:t>
              </a:r>
            </a:p>
          </xdr:txBody>
        </xdr:sp>
        <xdr:sp macro="" textlink="">
          <xdr:nvSpPr>
            <xdr:cNvPr id="7" name=" "/>
            <xdr:cNvSpPr txBox="1"/>
          </xdr:nvSpPr>
          <xdr:spPr>
            <a:xfrm>
              <a:off x="9240144" y="1988727"/>
              <a:ext cx="3688841" cy="880981"/>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200" b="1">
                  <a:solidFill>
                    <a:srgbClr val="000000"/>
                  </a:solidFill>
                  <a:latin typeface="Times New Roman" panose="00000000000000000000" charset="0"/>
                  <a:ea typeface="Times New Roman" panose="00000000000000000000" charset="0"/>
                </a:rPr>
                <a:t>CỘNG HÒA XÃ HỘI CHỦ NGHĨA VIỆT NAM</a:t>
              </a:r>
            </a:p>
            <a:p>
              <a:pPr algn="ctr"/>
              <a:r>
                <a:rPr lang="en-US" altLang="zh-CN" sz="1300" b="1">
                  <a:solidFill>
                    <a:srgbClr val="000000"/>
                  </a:solidFill>
                  <a:latin typeface="Times New Roman" panose="00000000000000000000" charset="0"/>
                  <a:ea typeface="Times New Roman" panose="00000000000000000000" charset="0"/>
                </a:rPr>
                <a:t>Độc lập - Tự do - Hạnh phúc</a:t>
              </a:r>
            </a:p>
            <a:p>
              <a:pPr algn="ctr"/>
              <a:endParaRPr/>
            </a:p>
            <a:p>
              <a:pPr algn="ctr"/>
              <a:endParaRPr/>
            </a:p>
            <a:p>
              <a:pPr algn="ctr"/>
              <a:r>
                <a:rPr lang="en-US" altLang="zh-CN" sz="1300" i="1">
                  <a:solidFill>
                    <a:srgbClr val="000000"/>
                  </a:solidFill>
                  <a:latin typeface="Times New Roman" panose="00000000000000000000" charset="0"/>
                  <a:ea typeface="Times New Roman" panose="00000000000000000000" charset="0"/>
                </a:rPr>
                <a:t>Xuân Lộc, ngày        tháng        năm 2017</a:t>
              </a:r>
            </a:p>
          </xdr:txBody>
        </xdr:sp>
      </xdr:grpSp>
      <xdr:sp macro="" textlink="">
        <xdr:nvSpPr>
          <xdr:cNvPr id="4" name="line"/>
          <xdr:cNvSpPr/>
        </xdr:nvSpPr>
        <xdr:spPr>
          <a:xfrm>
            <a:off x="3645844" y="609600"/>
            <a:ext cx="1476375"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sp macro="" textlink="">
        <xdr:nvSpPr>
          <xdr:cNvPr id="5" name="line"/>
          <xdr:cNvSpPr/>
        </xdr:nvSpPr>
        <xdr:spPr>
          <a:xfrm>
            <a:off x="933302" y="602698"/>
            <a:ext cx="952500" cy="0"/>
          </a:xfrm>
          <a:prstGeom prst="line">
            <a:avLst/>
          </a:prstGeom>
          <a:no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EVN\QLVH\SCTX\QUYET%20TOAN\QT%20REC%20XUAN%20THO%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gram%20Files/Microsoft%20Office/Doiso.xl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911-480XuanB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D"/>
      <sheetName val="INFO"/>
      <sheetName val="PhieuXuat"/>
      <sheetName val="XinMoi"/>
      <sheetName val="ThuHoi"/>
      <sheetName val="PLVT"/>
      <sheetName val="ThuMoi"/>
      <sheetName val="1.BIA"/>
      <sheetName val="2.BBNT"/>
      <sheetName val="3.BBPS"/>
      <sheetName val="4.TTr-BBPS"/>
      <sheetName val="5.TTG"/>
      <sheetName val="6.TTR"/>
      <sheetName val="7.SAU-THAO-GO"/>
      <sheetName val="8.NHAP"/>
      <sheetName val="9.NHAP-THUA"/>
      <sheetName val="10.QTOAN"/>
      <sheetName val="11.QT-VTTH"/>
      <sheetName val="QTGT-TCKT"/>
    </sheetNames>
    <sheetDataSet>
      <sheetData sheetId="0"/>
      <sheetData sheetId="1"/>
      <sheetData sheetId="2">
        <row r="1">
          <cell r="A1">
            <v>0</v>
          </cell>
        </row>
      </sheetData>
      <sheetData sheetId="3">
        <row r="1">
          <cell r="A1" t="str">
            <v>ID</v>
          </cell>
          <cell r="B1" t="str">
            <v>STT</v>
          </cell>
          <cell r="C1" t="str">
            <v>Danh pháp</v>
          </cell>
          <cell r="D1" t="str">
            <v>Tên vật tư</v>
          </cell>
          <cell r="E1" t="str">
            <v>ĐVT</v>
          </cell>
          <cell r="F1" t="str">
            <v>Thiết kế</v>
          </cell>
          <cell r="G1" t="str">
            <v>Thực hiện</v>
          </cell>
          <cell r="H1" t="str">
            <v>Thực lãnh</v>
          </cell>
          <cell r="I1" t="str">
            <v>PS Tăng</v>
          </cell>
          <cell r="J1" t="str">
            <v>PS Giảm</v>
          </cell>
          <cell r="K1" t="str">
            <v>Thừa</v>
          </cell>
          <cell r="L1" t="str">
            <v xml:space="preserve">Số </v>
          </cell>
          <cell r="M1" t="str">
            <v>Ngày</v>
          </cell>
          <cell r="N1" t="str">
            <v>Số phiếu</v>
          </cell>
          <cell r="O1" t="str">
            <v>Ngày xuất</v>
          </cell>
          <cell r="P1" t="str">
            <v>Ghi chú</v>
          </cell>
          <cell r="Q1" t="str">
            <v>Đơn giá</v>
          </cell>
          <cell r="R1" t="str">
            <v>Phát sinh</v>
          </cell>
          <cell r="S1" t="str">
            <v>Đếm</v>
          </cell>
          <cell r="T1" t="str">
            <v>Tên vật tư thiết bị</v>
          </cell>
          <cell r="U1" t="str">
            <v xml:space="preserve">Đvt </v>
          </cell>
          <cell r="V1" t="str">
            <v>KLPS Tăng</v>
          </cell>
          <cell r="W1" t="str">
            <v>KLPS Giảm</v>
          </cell>
          <cell r="X1" t="str">
            <v>Lí do phát sinh</v>
          </cell>
          <cell r="Y1" t="str">
            <v>Đơn giá PS</v>
          </cell>
        </row>
        <row r="2">
          <cell r="A2" t="str">
            <v>XX</v>
          </cell>
          <cell r="B2" t="str">
            <v>xy</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cell r="T2">
            <v>2</v>
          </cell>
          <cell r="U2">
            <v>3</v>
          </cell>
          <cell r="V2">
            <v>4</v>
          </cell>
          <cell r="W2">
            <v>5</v>
          </cell>
          <cell r="X2">
            <v>6</v>
          </cell>
          <cell r="Y2">
            <v>25</v>
          </cell>
        </row>
        <row r="3">
          <cell r="A3" t="str">
            <v>13.15.82.585</v>
          </cell>
          <cell r="B3">
            <v>1</v>
          </cell>
          <cell r="C3" t="str">
            <v>3.15.82.585</v>
          </cell>
          <cell r="D3" t="str">
            <v>Cáp CXV -24kV 185mm2</v>
          </cell>
          <cell r="E3" t="str">
            <v>mét</v>
          </cell>
          <cell r="F3">
            <v>12</v>
          </cell>
          <cell r="G3">
            <v>12</v>
          </cell>
          <cell r="H3">
            <v>12</v>
          </cell>
          <cell r="I3">
            <v>0</v>
          </cell>
          <cell r="J3">
            <v>0</v>
          </cell>
          <cell r="K3"/>
          <cell r="L3" t="str">
            <v xml:space="preserve">  </v>
          </cell>
          <cell r="M3" t="str">
            <v xml:space="preserve">  </v>
          </cell>
          <cell r="N3">
            <v>84</v>
          </cell>
          <cell r="O3">
            <v>42915</v>
          </cell>
          <cell r="P3" t="str">
            <v xml:space="preserve">  </v>
          </cell>
          <cell r="Q3">
            <v>240878.33333333334</v>
          </cell>
          <cell r="R3" t="str">
            <v/>
          </cell>
          <cell r="S3">
            <v>0</v>
          </cell>
          <cell r="T3" t="str">
            <v/>
          </cell>
          <cell r="U3" t="str">
            <v/>
          </cell>
          <cell r="V3" t="str">
            <v/>
          </cell>
          <cell r="W3" t="str">
            <v/>
          </cell>
          <cell r="X3" t="str">
            <v>Do không có vật tư cùng chủng loại nên cấp phát vật tư tương đương</v>
          </cell>
          <cell r="Y3" t="e">
            <v>#REF!</v>
          </cell>
        </row>
        <row r="4">
          <cell r="B4">
            <v>2</v>
          </cell>
          <cell r="C4" t="str">
            <v>3.20.84.185</v>
          </cell>
          <cell r="D4" t="str">
            <v>Đầu coss ép Cu 185mm2</v>
          </cell>
          <cell r="E4" t="str">
            <v>cái</v>
          </cell>
          <cell r="F4">
            <v>6</v>
          </cell>
          <cell r="G4">
            <v>6</v>
          </cell>
          <cell r="H4">
            <v>6</v>
          </cell>
          <cell r="I4">
            <v>0</v>
          </cell>
          <cell r="J4">
            <v>0</v>
          </cell>
          <cell r="K4"/>
          <cell r="L4" t="str">
            <v xml:space="preserve">  </v>
          </cell>
          <cell r="M4" t="str">
            <v xml:space="preserve">  </v>
          </cell>
          <cell r="N4">
            <v>84</v>
          </cell>
          <cell r="O4">
            <v>42915</v>
          </cell>
          <cell r="P4" t="str">
            <v xml:space="preserve">  </v>
          </cell>
          <cell r="Q4">
            <v>49497.333333333336</v>
          </cell>
          <cell r="R4" t="str">
            <v/>
          </cell>
          <cell r="S4">
            <v>0</v>
          </cell>
          <cell r="T4" t="str">
            <v/>
          </cell>
          <cell r="U4" t="str">
            <v/>
          </cell>
          <cell r="V4" t="str">
            <v/>
          </cell>
          <cell r="W4" t="str">
            <v/>
          </cell>
          <cell r="X4" t="str">
            <v>Do không có vật tư cùng chủng loại nên cấp phát vật tư tương đương</v>
          </cell>
          <cell r="Y4">
            <v>51000</v>
          </cell>
        </row>
        <row r="5">
          <cell r="B5">
            <v>3</v>
          </cell>
          <cell r="C5" t="str">
            <v>3.20.05.887</v>
          </cell>
          <cell r="D5" t="str">
            <v>Kẹp ép WR 875</v>
          </cell>
          <cell r="E5" t="str">
            <v>cái</v>
          </cell>
          <cell r="F5">
            <v>6</v>
          </cell>
          <cell r="G5">
            <v>6</v>
          </cell>
          <cell r="H5">
            <v>6</v>
          </cell>
          <cell r="I5">
            <v>0</v>
          </cell>
          <cell r="J5">
            <v>0</v>
          </cell>
          <cell r="K5"/>
          <cell r="L5" t="str">
            <v xml:space="preserve">  </v>
          </cell>
          <cell r="M5" t="str">
            <v xml:space="preserve">  </v>
          </cell>
          <cell r="N5">
            <v>84</v>
          </cell>
          <cell r="O5">
            <v>42915</v>
          </cell>
          <cell r="P5" t="str">
            <v xml:space="preserve">  </v>
          </cell>
          <cell r="Q5">
            <v>35278.833333333336</v>
          </cell>
          <cell r="R5" t="str">
            <v/>
          </cell>
          <cell r="S5">
            <v>0</v>
          </cell>
          <cell r="T5" t="str">
            <v/>
          </cell>
          <cell r="U5" t="str">
            <v/>
          </cell>
          <cell r="V5" t="str">
            <v/>
          </cell>
          <cell r="W5" t="str">
            <v/>
          </cell>
          <cell r="X5" t="str">
            <v>Do không có vật tư cùng chủng loại nên cấp phát vật tư tương đương</v>
          </cell>
          <cell r="Y5">
            <v>42000</v>
          </cell>
        </row>
        <row r="6">
          <cell r="A6" t="str">
            <v>14.38.00.028</v>
          </cell>
          <cell r="B6">
            <v>4</v>
          </cell>
          <cell r="C6" t="str">
            <v>4.38.00.028</v>
          </cell>
          <cell r="D6" t="str">
            <v>Boulon 12x40/Zn</v>
          </cell>
          <cell r="E6" t="str">
            <v>cái</v>
          </cell>
          <cell r="F6">
            <v>18</v>
          </cell>
          <cell r="G6">
            <v>0</v>
          </cell>
          <cell r="H6">
            <v>0</v>
          </cell>
          <cell r="I6">
            <v>0</v>
          </cell>
          <cell r="J6">
            <v>18</v>
          </cell>
          <cell r="K6"/>
          <cell r="L6" t="str">
            <v xml:space="preserve">  </v>
          </cell>
          <cell r="M6" t="str">
            <v xml:space="preserve">  </v>
          </cell>
          <cell r="N6" t="str">
            <v/>
          </cell>
          <cell r="O6" t="str">
            <v/>
          </cell>
          <cell r="P6" t="str">
            <v xml:space="preserve">  </v>
          </cell>
          <cell r="Q6">
            <v>0</v>
          </cell>
          <cell r="R6" t="str">
            <v>PS</v>
          </cell>
          <cell r="S6">
            <v>1</v>
          </cell>
          <cell r="T6" t="str">
            <v>Boulon 12x40/Zn</v>
          </cell>
          <cell r="U6" t="str">
            <v>cái</v>
          </cell>
          <cell r="V6">
            <v>0</v>
          </cell>
          <cell r="W6">
            <v>18</v>
          </cell>
          <cell r="X6" t="str">
            <v>Do không có vật tư cùng chủng loại nên cấp phát vật tư tương đương</v>
          </cell>
          <cell r="Y6" t="e">
            <v>#REF!</v>
          </cell>
        </row>
        <row r="7">
          <cell r="A7" t="str">
            <v>14.38.00.030</v>
          </cell>
          <cell r="B7">
            <v>5</v>
          </cell>
          <cell r="C7" t="str">
            <v>4.38.00.030</v>
          </cell>
          <cell r="D7" t="str">
            <v>Boulon 12x50/Zn</v>
          </cell>
          <cell r="E7" t="str">
            <v>cái</v>
          </cell>
          <cell r="F7">
            <v>0</v>
          </cell>
          <cell r="G7">
            <v>18</v>
          </cell>
          <cell r="H7">
            <v>18</v>
          </cell>
          <cell r="I7">
            <v>18</v>
          </cell>
          <cell r="J7">
            <v>0</v>
          </cell>
          <cell r="K7"/>
          <cell r="L7" t="str">
            <v xml:space="preserve">  </v>
          </cell>
          <cell r="M7" t="str">
            <v xml:space="preserve">  </v>
          </cell>
          <cell r="N7">
            <v>84</v>
          </cell>
          <cell r="O7">
            <v>42915</v>
          </cell>
          <cell r="P7" t="str">
            <v xml:space="preserve">  </v>
          </cell>
          <cell r="Q7">
            <v>4005.8333333333335</v>
          </cell>
          <cell r="R7" t="str">
            <v>PS</v>
          </cell>
          <cell r="S7">
            <v>2</v>
          </cell>
          <cell r="T7" t="str">
            <v>Boulon 12x50/Zn</v>
          </cell>
          <cell r="U7" t="str">
            <v>cái</v>
          </cell>
          <cell r="V7">
            <v>18</v>
          </cell>
          <cell r="W7">
            <v>0</v>
          </cell>
          <cell r="X7" t="str">
            <v>Do không có vật tư cùng chủng loại nên cấp phát vật tư tương đương</v>
          </cell>
          <cell r="Y7">
            <v>0</v>
          </cell>
        </row>
        <row r="8">
          <cell r="A8" t="str">
            <v>14.38.00.065</v>
          </cell>
          <cell r="B8">
            <v>6</v>
          </cell>
          <cell r="C8" t="str">
            <v>4.38.00.065</v>
          </cell>
          <cell r="D8" t="str">
            <v>Boulon 16x300/Zn</v>
          </cell>
          <cell r="E8" t="str">
            <v>cái</v>
          </cell>
          <cell r="F8">
            <v>4</v>
          </cell>
          <cell r="G8">
            <v>4</v>
          </cell>
          <cell r="H8">
            <v>4</v>
          </cell>
          <cell r="I8">
            <v>0</v>
          </cell>
          <cell r="J8">
            <v>0</v>
          </cell>
          <cell r="K8"/>
          <cell r="L8" t="str">
            <v xml:space="preserve">  </v>
          </cell>
          <cell r="M8" t="str">
            <v xml:space="preserve">  </v>
          </cell>
          <cell r="N8">
            <v>84</v>
          </cell>
          <cell r="O8">
            <v>42915</v>
          </cell>
          <cell r="P8" t="str">
            <v xml:space="preserve">  </v>
          </cell>
          <cell r="Q8">
            <v>16466</v>
          </cell>
          <cell r="R8" t="str">
            <v/>
          </cell>
          <cell r="S8">
            <v>2</v>
          </cell>
          <cell r="T8" t="str">
            <v/>
          </cell>
          <cell r="U8" t="str">
            <v/>
          </cell>
          <cell r="V8" t="str">
            <v/>
          </cell>
          <cell r="W8" t="str">
            <v/>
          </cell>
          <cell r="X8" t="str">
            <v>Do không có vật tư cùng chủng loại nên cấp phát vật tư tương đương</v>
          </cell>
          <cell r="Y8">
            <v>19600</v>
          </cell>
        </row>
        <row r="9">
          <cell r="B9">
            <v>7</v>
          </cell>
          <cell r="C9" t="str">
            <v>4.38.00.068</v>
          </cell>
          <cell r="D9" t="str">
            <v>Boulon 16x450/Zn</v>
          </cell>
          <cell r="E9" t="str">
            <v>cái</v>
          </cell>
          <cell r="F9">
            <v>2</v>
          </cell>
          <cell r="G9">
            <v>0</v>
          </cell>
          <cell r="H9">
            <v>0</v>
          </cell>
          <cell r="I9">
            <v>0</v>
          </cell>
          <cell r="J9">
            <v>2</v>
          </cell>
          <cell r="K9"/>
          <cell r="L9" t="str">
            <v xml:space="preserve">  </v>
          </cell>
          <cell r="M9" t="str">
            <v xml:space="preserve">  </v>
          </cell>
          <cell r="N9" t="str">
            <v/>
          </cell>
          <cell r="O9" t="str">
            <v/>
          </cell>
          <cell r="P9" t="str">
            <v xml:space="preserve">  </v>
          </cell>
          <cell r="Q9">
            <v>0</v>
          </cell>
          <cell r="R9" t="str">
            <v>PS</v>
          </cell>
          <cell r="S9">
            <v>3</v>
          </cell>
          <cell r="T9" t="str">
            <v>Boulon 16x450/Zn</v>
          </cell>
          <cell r="U9" t="str">
            <v>cái</v>
          </cell>
          <cell r="V9">
            <v>0</v>
          </cell>
          <cell r="W9">
            <v>2</v>
          </cell>
          <cell r="X9" t="str">
            <v>Do không có vật tư cùng chủng loại nên cấp phát vật tư tương đương</v>
          </cell>
          <cell r="Y9">
            <v>0</v>
          </cell>
        </row>
        <row r="10">
          <cell r="A10" t="str">
            <v>14.38.00.067</v>
          </cell>
          <cell r="B10">
            <v>8</v>
          </cell>
          <cell r="C10" t="str">
            <v>4.38.00.067</v>
          </cell>
          <cell r="D10" t="str">
            <v>Boulon 16x400/Zn</v>
          </cell>
          <cell r="E10" t="str">
            <v>cái</v>
          </cell>
          <cell r="F10"/>
          <cell r="G10">
            <v>2</v>
          </cell>
          <cell r="H10">
            <v>2</v>
          </cell>
          <cell r="I10">
            <v>2</v>
          </cell>
          <cell r="J10">
            <v>0</v>
          </cell>
          <cell r="K10"/>
          <cell r="L10" t="str">
            <v xml:space="preserve">  </v>
          </cell>
          <cell r="M10" t="str">
            <v xml:space="preserve">  </v>
          </cell>
          <cell r="N10">
            <v>84</v>
          </cell>
          <cell r="O10">
            <v>42915</v>
          </cell>
          <cell r="P10"/>
          <cell r="Q10">
            <v>22000</v>
          </cell>
          <cell r="R10" t="str">
            <v>PS</v>
          </cell>
          <cell r="S10">
            <v>4</v>
          </cell>
          <cell r="T10" t="str">
            <v>Boulon 16x400/Zn</v>
          </cell>
          <cell r="U10" t="str">
            <v>cái</v>
          </cell>
          <cell r="V10">
            <v>2</v>
          </cell>
          <cell r="W10">
            <v>0</v>
          </cell>
          <cell r="X10" t="str">
            <v>Làm tròn số lẻ quá nhỏ</v>
          </cell>
          <cell r="Y10">
            <v>0</v>
          </cell>
        </row>
        <row r="11">
          <cell r="A11" t="str">
            <v>14.90.80.009</v>
          </cell>
          <cell r="B11">
            <v>9</v>
          </cell>
          <cell r="C11" t="str">
            <v>4.90.80.009</v>
          </cell>
          <cell r="D11" t="str">
            <v>Chụp LA</v>
          </cell>
          <cell r="E11" t="str">
            <v>cái</v>
          </cell>
          <cell r="F11">
            <v>6</v>
          </cell>
          <cell r="G11">
            <v>6</v>
          </cell>
          <cell r="H11">
            <v>6</v>
          </cell>
          <cell r="I11">
            <v>0</v>
          </cell>
          <cell r="J11">
            <v>0</v>
          </cell>
          <cell r="K11"/>
          <cell r="L11" t="str">
            <v xml:space="preserve">  </v>
          </cell>
          <cell r="M11" t="str">
            <v xml:space="preserve">  </v>
          </cell>
          <cell r="N11">
            <v>84</v>
          </cell>
          <cell r="O11">
            <v>42915</v>
          </cell>
          <cell r="P11" t="str">
            <v xml:space="preserve">  </v>
          </cell>
          <cell r="Q11">
            <v>32493.166666666668</v>
          </cell>
          <cell r="R11" t="str">
            <v/>
          </cell>
          <cell r="S11">
            <v>4</v>
          </cell>
          <cell r="T11" t="str">
            <v/>
          </cell>
          <cell r="U11" t="str">
            <v/>
          </cell>
          <cell r="V11" t="str">
            <v/>
          </cell>
          <cell r="W11" t="str">
            <v/>
          </cell>
          <cell r="X11" t="str">
            <v>Do không có vật tư cùng chủng loại nên cấp phát vật tư tương đương</v>
          </cell>
          <cell r="Y11">
            <v>0</v>
          </cell>
        </row>
        <row r="12">
          <cell r="B12">
            <v>10</v>
          </cell>
          <cell r="C12" t="str">
            <v>4.90.80.510</v>
          </cell>
          <cell r="D12" t="str">
            <v>Chụp bussing recloser</v>
          </cell>
          <cell r="E12" t="str">
            <v>cái</v>
          </cell>
          <cell r="F12">
            <v>6</v>
          </cell>
          <cell r="G12">
            <v>6</v>
          </cell>
          <cell r="H12">
            <v>6</v>
          </cell>
          <cell r="I12">
            <v>0</v>
          </cell>
          <cell r="J12">
            <v>0</v>
          </cell>
          <cell r="K12"/>
          <cell r="L12" t="str">
            <v xml:space="preserve">  </v>
          </cell>
          <cell r="M12" t="str">
            <v xml:space="preserve">  </v>
          </cell>
          <cell r="N12">
            <v>84</v>
          </cell>
          <cell r="O12">
            <v>42915</v>
          </cell>
          <cell r="P12" t="str">
            <v xml:space="preserve">  </v>
          </cell>
          <cell r="Q12">
            <v>50203.166666666664</v>
          </cell>
          <cell r="R12" t="str">
            <v/>
          </cell>
          <cell r="S12">
            <v>4</v>
          </cell>
          <cell r="T12" t="str">
            <v/>
          </cell>
          <cell r="U12" t="str">
            <v/>
          </cell>
          <cell r="V12" t="str">
            <v/>
          </cell>
          <cell r="W12" t="str">
            <v/>
          </cell>
          <cell r="X12" t="str">
            <v>Do không có vật tư cùng chủng loại nên cấp phát vật tư tương đương</v>
          </cell>
          <cell r="Y12">
            <v>0</v>
          </cell>
        </row>
        <row r="13">
          <cell r="A13" t="str">
            <v>14.90.80.400</v>
          </cell>
          <cell r="B13">
            <v>11</v>
          </cell>
          <cell r="C13" t="str">
            <v>4.90.80.400</v>
          </cell>
          <cell r="D13" t="str">
            <v xml:space="preserve">Chụp FCO </v>
          </cell>
          <cell r="E13" t="str">
            <v>bộ</v>
          </cell>
          <cell r="F13">
            <v>1</v>
          </cell>
          <cell r="G13">
            <v>1</v>
          </cell>
          <cell r="H13">
            <v>1</v>
          </cell>
          <cell r="I13">
            <v>0</v>
          </cell>
          <cell r="J13">
            <v>0</v>
          </cell>
          <cell r="K13"/>
          <cell r="L13" t="str">
            <v xml:space="preserve">  </v>
          </cell>
          <cell r="M13" t="str">
            <v xml:space="preserve">  </v>
          </cell>
          <cell r="N13">
            <v>84</v>
          </cell>
          <cell r="O13">
            <v>42915</v>
          </cell>
          <cell r="P13" t="str">
            <v xml:space="preserve">  </v>
          </cell>
          <cell r="Q13">
            <v>172200</v>
          </cell>
          <cell r="R13" t="str">
            <v/>
          </cell>
          <cell r="S13">
            <v>4</v>
          </cell>
          <cell r="T13" t="str">
            <v/>
          </cell>
          <cell r="U13" t="str">
            <v/>
          </cell>
          <cell r="V13" t="str">
            <v/>
          </cell>
          <cell r="W13" t="str">
            <v/>
          </cell>
          <cell r="X13" t="str">
            <v>Do không có vật tư cùng chủng loại nên cấp phát vật tư tương đương</v>
          </cell>
          <cell r="Y13">
            <v>0</v>
          </cell>
        </row>
        <row r="14">
          <cell r="B14">
            <v>12</v>
          </cell>
          <cell r="C14" t="str">
            <v>4.70.21.014</v>
          </cell>
          <cell r="D14" t="str">
            <v xml:space="preserve">Long đền vuông 50x50x3/Zn D14 </v>
          </cell>
          <cell r="E14" t="str">
            <v>cái</v>
          </cell>
          <cell r="F14">
            <v>36</v>
          </cell>
          <cell r="G14">
            <v>36</v>
          </cell>
          <cell r="H14">
            <v>36</v>
          </cell>
          <cell r="I14">
            <v>0</v>
          </cell>
          <cell r="J14">
            <v>0</v>
          </cell>
          <cell r="K14"/>
          <cell r="L14" t="str">
            <v xml:space="preserve">  </v>
          </cell>
          <cell r="M14" t="str">
            <v xml:space="preserve">  </v>
          </cell>
          <cell r="N14">
            <v>84</v>
          </cell>
          <cell r="O14">
            <v>42915</v>
          </cell>
          <cell r="P14" t="str">
            <v xml:space="preserve">  </v>
          </cell>
          <cell r="Q14">
            <v>1300</v>
          </cell>
          <cell r="R14" t="str">
            <v/>
          </cell>
          <cell r="S14">
            <v>4</v>
          </cell>
          <cell r="T14" t="str">
            <v/>
          </cell>
          <cell r="U14" t="str">
            <v/>
          </cell>
          <cell r="V14" t="str">
            <v/>
          </cell>
          <cell r="W14" t="str">
            <v/>
          </cell>
          <cell r="X14" t="str">
            <v>Do không có vật tư cùng chủng loại nên cấp phát vật tư tương đương</v>
          </cell>
          <cell r="Y14">
            <v>2000</v>
          </cell>
        </row>
        <row r="15">
          <cell r="A15" t="str">
            <v>14.70.21.018</v>
          </cell>
          <cell r="B15">
            <v>13</v>
          </cell>
          <cell r="C15" t="str">
            <v>4.70.21.018</v>
          </cell>
          <cell r="D15" t="str">
            <v xml:space="preserve">Long đền vuông 50x50x3/Zn D18 </v>
          </cell>
          <cell r="E15" t="str">
            <v>cái</v>
          </cell>
          <cell r="F15">
            <v>12</v>
          </cell>
          <cell r="G15">
            <v>12</v>
          </cell>
          <cell r="H15">
            <v>12</v>
          </cell>
          <cell r="I15">
            <v>0</v>
          </cell>
          <cell r="J15">
            <v>0</v>
          </cell>
          <cell r="K15"/>
          <cell r="L15" t="str">
            <v xml:space="preserve">  </v>
          </cell>
          <cell r="M15" t="str">
            <v xml:space="preserve">  </v>
          </cell>
          <cell r="N15">
            <v>85</v>
          </cell>
          <cell r="O15">
            <v>42915</v>
          </cell>
          <cell r="P15" t="str">
            <v xml:space="preserve">  </v>
          </cell>
          <cell r="Q15">
            <v>1793.1666666666667</v>
          </cell>
          <cell r="R15" t="str">
            <v/>
          </cell>
          <cell r="S15">
            <v>4</v>
          </cell>
          <cell r="T15" t="str">
            <v/>
          </cell>
          <cell r="U15" t="str">
            <v/>
          </cell>
          <cell r="V15" t="str">
            <v/>
          </cell>
          <cell r="W15" t="str">
            <v/>
          </cell>
          <cell r="X15" t="str">
            <v>Do không có vật tư cùng chủng loại nên cấp phát vật tư tương đương</v>
          </cell>
          <cell r="Y15">
            <v>2100</v>
          </cell>
        </row>
        <row r="16">
          <cell r="A16" t="str">
            <v>14.90.21.027</v>
          </cell>
          <cell r="B16">
            <v>14</v>
          </cell>
          <cell r="C16" t="str">
            <v>4.90.21.027</v>
          </cell>
          <cell r="D16" t="str">
            <v>Ống PVC DK27</v>
          </cell>
          <cell r="E16" t="str">
            <v>mét</v>
          </cell>
          <cell r="F16">
            <v>7</v>
          </cell>
          <cell r="G16">
            <v>7</v>
          </cell>
          <cell r="H16">
            <v>7</v>
          </cell>
          <cell r="I16">
            <v>0</v>
          </cell>
          <cell r="J16">
            <v>0</v>
          </cell>
          <cell r="K16"/>
          <cell r="L16" t="str">
            <v xml:space="preserve">  </v>
          </cell>
          <cell r="M16" t="str">
            <v xml:space="preserve">  </v>
          </cell>
          <cell r="N16">
            <v>85</v>
          </cell>
          <cell r="O16">
            <v>42915</v>
          </cell>
          <cell r="P16" t="str">
            <v xml:space="preserve">  </v>
          </cell>
          <cell r="Q16">
            <v>11157.142857142857</v>
          </cell>
          <cell r="R16" t="str">
            <v/>
          </cell>
          <cell r="S16">
            <v>4</v>
          </cell>
          <cell r="T16" t="str">
            <v/>
          </cell>
          <cell r="U16" t="str">
            <v/>
          </cell>
          <cell r="V16" t="str">
            <v/>
          </cell>
          <cell r="W16" t="str">
            <v/>
          </cell>
          <cell r="X16" t="str">
            <v>Do không có vật tư cùng chủng loại nên cấp phát vật tư tương đương</v>
          </cell>
          <cell r="Y16" t="e">
            <v>#REF!</v>
          </cell>
        </row>
        <row r="17">
          <cell r="A17" t="str">
            <v>14.90.21.060</v>
          </cell>
          <cell r="B17">
            <v>15</v>
          </cell>
          <cell r="C17" t="str">
            <v>4.90.21.060</v>
          </cell>
          <cell r="D17" t="str">
            <v>Ống PVC DK60</v>
          </cell>
          <cell r="E17" t="str">
            <v>mét</v>
          </cell>
          <cell r="F17">
            <v>7</v>
          </cell>
          <cell r="G17">
            <v>7</v>
          </cell>
          <cell r="H17">
            <v>7</v>
          </cell>
          <cell r="I17">
            <v>0</v>
          </cell>
          <cell r="J17">
            <v>0</v>
          </cell>
          <cell r="K17"/>
          <cell r="L17" t="str">
            <v xml:space="preserve">  </v>
          </cell>
          <cell r="M17" t="str">
            <v xml:space="preserve">  </v>
          </cell>
          <cell r="N17">
            <v>85</v>
          </cell>
          <cell r="O17">
            <v>42915</v>
          </cell>
          <cell r="P17" t="str">
            <v xml:space="preserve">  </v>
          </cell>
          <cell r="Q17">
            <v>23396.714285714286</v>
          </cell>
          <cell r="R17" t="str">
            <v/>
          </cell>
          <cell r="S17">
            <v>4</v>
          </cell>
          <cell r="T17" t="str">
            <v/>
          </cell>
          <cell r="U17" t="str">
            <v/>
          </cell>
          <cell r="V17" t="str">
            <v/>
          </cell>
          <cell r="W17" t="str">
            <v/>
          </cell>
          <cell r="X17" t="str">
            <v>Do không có vật tư cùng chủng loại nên cấp phát vật tư tương đương</v>
          </cell>
          <cell r="Y17" t="e">
            <v>#REF!</v>
          </cell>
        </row>
        <row r="18">
          <cell r="A18" t="str">
            <v>14.90.51.027</v>
          </cell>
          <cell r="B18">
            <v>16</v>
          </cell>
          <cell r="C18" t="str">
            <v>4.90.51.027</v>
          </cell>
          <cell r="D18" t="str">
            <v>Co PVC 900 –DK27</v>
          </cell>
          <cell r="E18" t="str">
            <v>cái</v>
          </cell>
          <cell r="F18">
            <v>2</v>
          </cell>
          <cell r="G18">
            <v>2</v>
          </cell>
          <cell r="H18">
            <v>2</v>
          </cell>
          <cell r="I18">
            <v>0</v>
          </cell>
          <cell r="J18">
            <v>0</v>
          </cell>
          <cell r="K18"/>
          <cell r="L18" t="str">
            <v xml:space="preserve">  </v>
          </cell>
          <cell r="M18" t="str">
            <v xml:space="preserve">  </v>
          </cell>
          <cell r="N18">
            <v>85</v>
          </cell>
          <cell r="O18">
            <v>42915</v>
          </cell>
          <cell r="P18" t="str">
            <v xml:space="preserve">  </v>
          </cell>
          <cell r="Q18">
            <v>4500</v>
          </cell>
          <cell r="R18" t="str">
            <v/>
          </cell>
          <cell r="S18">
            <v>4</v>
          </cell>
          <cell r="T18" t="str">
            <v/>
          </cell>
          <cell r="U18" t="str">
            <v/>
          </cell>
          <cell r="V18" t="str">
            <v/>
          </cell>
          <cell r="W18" t="str">
            <v/>
          </cell>
          <cell r="X18" t="str">
            <v>Do không có vật tư cùng chủng loại nên cấp phát vật tư tương đương</v>
          </cell>
          <cell r="Y18" t="e">
            <v>#REF!</v>
          </cell>
        </row>
        <row r="19">
          <cell r="A19" t="str">
            <v>14.90.51.060</v>
          </cell>
          <cell r="B19">
            <v>17</v>
          </cell>
          <cell r="C19" t="str">
            <v>4.90.51.060</v>
          </cell>
          <cell r="D19" t="str">
            <v>Co PVC 900 –DK60</v>
          </cell>
          <cell r="E19" t="str">
            <v>cái</v>
          </cell>
          <cell r="F19">
            <v>2</v>
          </cell>
          <cell r="G19">
            <v>2</v>
          </cell>
          <cell r="H19">
            <v>2</v>
          </cell>
          <cell r="I19">
            <v>0</v>
          </cell>
          <cell r="J19">
            <v>0</v>
          </cell>
          <cell r="K19"/>
          <cell r="L19" t="str">
            <v xml:space="preserve">  </v>
          </cell>
          <cell r="M19" t="str">
            <v xml:space="preserve">  </v>
          </cell>
          <cell r="N19">
            <v>85</v>
          </cell>
          <cell r="O19">
            <v>42915</v>
          </cell>
          <cell r="P19" t="str">
            <v xml:space="preserve">  </v>
          </cell>
          <cell r="Q19">
            <v>9083.5</v>
          </cell>
          <cell r="R19" t="str">
            <v/>
          </cell>
          <cell r="S19">
            <v>4</v>
          </cell>
          <cell r="T19" t="str">
            <v/>
          </cell>
          <cell r="U19" t="str">
            <v/>
          </cell>
          <cell r="V19" t="str">
            <v/>
          </cell>
          <cell r="W19" t="str">
            <v/>
          </cell>
          <cell r="X19" t="str">
            <v>Do không có vật tư cùng chủng loại nên cấp phát vật tư tương đương</v>
          </cell>
          <cell r="Y19">
            <v>0</v>
          </cell>
        </row>
        <row r="20">
          <cell r="B20">
            <v>18</v>
          </cell>
          <cell r="C20" t="str">
            <v>ps</v>
          </cell>
          <cell r="D20" t="str">
            <v>Cổ dê kẹp ống PVC DK 27</v>
          </cell>
          <cell r="E20" t="str">
            <v>cái</v>
          </cell>
          <cell r="F20">
            <v>3</v>
          </cell>
          <cell r="G20">
            <v>0</v>
          </cell>
          <cell r="H20">
            <v>0</v>
          </cell>
          <cell r="I20">
            <v>0</v>
          </cell>
          <cell r="J20">
            <v>3</v>
          </cell>
          <cell r="K20"/>
          <cell r="L20" t="str">
            <v xml:space="preserve">  </v>
          </cell>
          <cell r="M20" t="str">
            <v xml:space="preserve">  </v>
          </cell>
          <cell r="N20" t="str">
            <v/>
          </cell>
          <cell r="O20" t="str">
            <v/>
          </cell>
          <cell r="P20" t="str">
            <v xml:space="preserve">  </v>
          </cell>
          <cell r="Q20">
            <v>0</v>
          </cell>
          <cell r="R20" t="str">
            <v>PS</v>
          </cell>
          <cell r="S20">
            <v>5</v>
          </cell>
          <cell r="T20" t="str">
            <v>Cổ dê kẹp ống PVC DK 27</v>
          </cell>
          <cell r="U20" t="str">
            <v>cái</v>
          </cell>
          <cell r="V20">
            <v>0</v>
          </cell>
          <cell r="W20">
            <v>3</v>
          </cell>
          <cell r="X20" t="str">
            <v>Do không có vật tư cùng chủng loại nên cấp phát vật tư tương đương</v>
          </cell>
          <cell r="Y20" t="e">
            <v>#N/A</v>
          </cell>
        </row>
        <row r="21">
          <cell r="B21">
            <v>19</v>
          </cell>
          <cell r="C21" t="str">
            <v>3.06.50.204</v>
          </cell>
          <cell r="D21" t="str">
            <v>Khoá đai cho đai Inox 20x0,4</v>
          </cell>
          <cell r="E21" t="str">
            <v>cái</v>
          </cell>
          <cell r="F21"/>
          <cell r="G21">
            <v>3</v>
          </cell>
          <cell r="H21">
            <v>3</v>
          </cell>
          <cell r="I21">
            <v>3</v>
          </cell>
          <cell r="J21">
            <v>0</v>
          </cell>
          <cell r="K21"/>
          <cell r="L21" t="str">
            <v xml:space="preserve">  </v>
          </cell>
          <cell r="M21" t="str">
            <v xml:space="preserve">  </v>
          </cell>
          <cell r="N21">
            <v>85</v>
          </cell>
          <cell r="O21">
            <v>42915</v>
          </cell>
          <cell r="P21" t="str">
            <v xml:space="preserve">  </v>
          </cell>
          <cell r="Q21">
            <v>1414.3333333333333</v>
          </cell>
          <cell r="R21" t="str">
            <v>PS</v>
          </cell>
          <cell r="S21">
            <v>6</v>
          </cell>
          <cell r="T21" t="str">
            <v>Khoá đai cho đai Inox 20x0,4</v>
          </cell>
          <cell r="U21" t="str">
            <v>cái</v>
          </cell>
          <cell r="V21">
            <v>3</v>
          </cell>
          <cell r="W21">
            <v>0</v>
          </cell>
          <cell r="X21" t="str">
            <v>Do không có vật tư cùng chủng loại nên cấp phát vật tư tương đương</v>
          </cell>
          <cell r="Y21">
            <v>0</v>
          </cell>
        </row>
        <row r="22">
          <cell r="A22" t="str">
            <v>12.78.81.007</v>
          </cell>
          <cell r="B22">
            <v>20</v>
          </cell>
          <cell r="C22" t="str">
            <v>2.78.81.007</v>
          </cell>
          <cell r="D22" t="str">
            <v>Dây rút thép 20x0,4mm</v>
          </cell>
          <cell r="E22" t="str">
            <v>mét</v>
          </cell>
          <cell r="F22"/>
          <cell r="G22">
            <v>3.6</v>
          </cell>
          <cell r="H22">
            <v>3.6</v>
          </cell>
          <cell r="I22">
            <v>3.6</v>
          </cell>
          <cell r="J22">
            <v>0</v>
          </cell>
          <cell r="K22"/>
          <cell r="L22" t="str">
            <v xml:space="preserve">  </v>
          </cell>
          <cell r="M22" t="str">
            <v xml:space="preserve">  </v>
          </cell>
          <cell r="N22">
            <v>85</v>
          </cell>
          <cell r="O22">
            <v>42915</v>
          </cell>
          <cell r="P22" t="str">
            <v xml:space="preserve">  </v>
          </cell>
          <cell r="Q22">
            <v>3863.333333333333</v>
          </cell>
          <cell r="R22" t="str">
            <v>PS</v>
          </cell>
          <cell r="S22">
            <v>7</v>
          </cell>
          <cell r="T22" t="str">
            <v>Dây rút thép 20x0,4mm</v>
          </cell>
          <cell r="U22" t="str">
            <v>mét</v>
          </cell>
          <cell r="V22">
            <v>3.6</v>
          </cell>
          <cell r="W22">
            <v>0</v>
          </cell>
          <cell r="X22" t="str">
            <v>Do không có vật tư cùng chủng loại nên cấp phát vật tư tương đương</v>
          </cell>
          <cell r="Y22">
            <v>0</v>
          </cell>
        </row>
        <row r="23">
          <cell r="B23">
            <v>21</v>
          </cell>
          <cell r="C23" t="str">
            <v>3.06.50.060</v>
          </cell>
          <cell r="D23" t="str">
            <v>Cổ dê kẹp ống PVC DK 60</v>
          </cell>
          <cell r="E23" t="str">
            <v>cái</v>
          </cell>
          <cell r="F23">
            <v>6</v>
          </cell>
          <cell r="G23">
            <v>3</v>
          </cell>
          <cell r="H23">
            <v>3</v>
          </cell>
          <cell r="I23">
            <v>0</v>
          </cell>
          <cell r="J23">
            <v>3</v>
          </cell>
          <cell r="K23"/>
          <cell r="L23" t="str">
            <v xml:space="preserve">  </v>
          </cell>
          <cell r="M23" t="str">
            <v xml:space="preserve">  </v>
          </cell>
          <cell r="N23">
            <v>85</v>
          </cell>
          <cell r="O23">
            <v>42915</v>
          </cell>
          <cell r="P23" t="str">
            <v xml:space="preserve">  </v>
          </cell>
          <cell r="Q23">
            <v>49600</v>
          </cell>
          <cell r="R23" t="str">
            <v>PS</v>
          </cell>
          <cell r="S23">
            <v>8</v>
          </cell>
          <cell r="T23" t="str">
            <v>Cổ dê kẹp ống PVC DK 60</v>
          </cell>
          <cell r="U23" t="str">
            <v>cái</v>
          </cell>
          <cell r="V23">
            <v>0</v>
          </cell>
          <cell r="W23">
            <v>3</v>
          </cell>
          <cell r="X23" t="str">
            <v>Do không có vật tư cùng chủng loại nên cấp phát vật tư tương đương</v>
          </cell>
          <cell r="Y23">
            <v>0</v>
          </cell>
        </row>
        <row r="24">
          <cell r="A24" t="str">
            <v>23.06.50.060</v>
          </cell>
          <cell r="B24">
            <v>22</v>
          </cell>
          <cell r="C24" t="str">
            <v>3.06.50.060</v>
          </cell>
          <cell r="D24" t="str">
            <v>Cổ dê kẹp ống PVC DK 60</v>
          </cell>
          <cell r="E24" t="str">
            <v>cái</v>
          </cell>
          <cell r="F24"/>
          <cell r="G24">
            <v>3</v>
          </cell>
          <cell r="H24">
            <v>3</v>
          </cell>
          <cell r="I24">
            <v>3</v>
          </cell>
          <cell r="J24">
            <v>0</v>
          </cell>
          <cell r="K24"/>
          <cell r="L24" t="str">
            <v xml:space="preserve">  </v>
          </cell>
          <cell r="M24" t="str">
            <v xml:space="preserve">  </v>
          </cell>
          <cell r="N24">
            <v>117</v>
          </cell>
          <cell r="O24">
            <v>42949</v>
          </cell>
          <cell r="P24" t="str">
            <v xml:space="preserve">  </v>
          </cell>
          <cell r="Q24">
            <v>49600</v>
          </cell>
          <cell r="R24" t="str">
            <v>PS</v>
          </cell>
          <cell r="S24">
            <v>9</v>
          </cell>
          <cell r="T24" t="str">
            <v>Cổ dê kẹp ống PVC DK 60</v>
          </cell>
          <cell r="U24" t="str">
            <v>cái</v>
          </cell>
          <cell r="V24">
            <v>3</v>
          </cell>
          <cell r="W24">
            <v>0</v>
          </cell>
          <cell r="X24" t="str">
            <v>Do không có vật tư cùng chủng loại nên cấp phát vật tư tương đương</v>
          </cell>
          <cell r="Y24">
            <v>0</v>
          </cell>
        </row>
        <row r="25">
          <cell r="A25" t="str">
            <v>14.90.80.708</v>
          </cell>
          <cell r="B25">
            <v>23</v>
          </cell>
          <cell r="C25" t="str">
            <v>4.90.80.708</v>
          </cell>
          <cell r="D25" t="str">
            <v>Ống chụp cách điện 1,2m cỡ dây AC185</v>
          </cell>
          <cell r="E25" t="str">
            <v>ống</v>
          </cell>
          <cell r="F25">
            <v>1</v>
          </cell>
          <cell r="G25">
            <v>1</v>
          </cell>
          <cell r="H25">
            <v>1</v>
          </cell>
          <cell r="I25">
            <v>0</v>
          </cell>
          <cell r="J25">
            <v>0</v>
          </cell>
          <cell r="K25"/>
          <cell r="L25" t="str">
            <v xml:space="preserve">  </v>
          </cell>
          <cell r="M25" t="str">
            <v xml:space="preserve">  </v>
          </cell>
          <cell r="N25">
            <v>85</v>
          </cell>
          <cell r="O25">
            <v>42915</v>
          </cell>
          <cell r="P25" t="str">
            <v xml:space="preserve">  </v>
          </cell>
          <cell r="Q25">
            <v>130000</v>
          </cell>
          <cell r="R25" t="str">
            <v/>
          </cell>
          <cell r="S25">
            <v>9</v>
          </cell>
          <cell r="T25" t="str">
            <v/>
          </cell>
          <cell r="U25" t="str">
            <v/>
          </cell>
          <cell r="V25" t="str">
            <v/>
          </cell>
          <cell r="W25" t="str">
            <v/>
          </cell>
          <cell r="X25" t="str">
            <v>Do không có vật tư cùng chủng loại nên cấp phát vật tư tương đương</v>
          </cell>
          <cell r="Y25">
            <v>0</v>
          </cell>
        </row>
        <row r="26">
          <cell r="A26" t="str">
            <v>13.70.76.007</v>
          </cell>
          <cell r="B26">
            <v>24</v>
          </cell>
          <cell r="C26" t="str">
            <v>3.70.76.007</v>
          </cell>
          <cell r="D26" t="str">
            <v>Băng keo hạ thế</v>
          </cell>
          <cell r="E26" t="str">
            <v>cuộn</v>
          </cell>
          <cell r="F26">
            <v>3</v>
          </cell>
          <cell r="G26">
            <v>3</v>
          </cell>
          <cell r="H26">
            <v>3</v>
          </cell>
          <cell r="I26">
            <v>0</v>
          </cell>
          <cell r="J26">
            <v>0</v>
          </cell>
          <cell r="K26"/>
          <cell r="L26" t="str">
            <v xml:space="preserve">  </v>
          </cell>
          <cell r="M26" t="str">
            <v xml:space="preserve">  </v>
          </cell>
          <cell r="N26">
            <v>85</v>
          </cell>
          <cell r="O26">
            <v>42915</v>
          </cell>
          <cell r="P26" t="str">
            <v xml:space="preserve">  </v>
          </cell>
          <cell r="Q26">
            <v>2129.3333333333335</v>
          </cell>
          <cell r="R26" t="str">
            <v/>
          </cell>
          <cell r="S26">
            <v>9</v>
          </cell>
          <cell r="T26" t="str">
            <v/>
          </cell>
          <cell r="U26" t="str">
            <v/>
          </cell>
          <cell r="V26" t="str">
            <v/>
          </cell>
          <cell r="W26" t="str">
            <v/>
          </cell>
          <cell r="X26" t="str">
            <v>Do không có vật tư cùng chủng loại nên cấp phát vật tư tương đương</v>
          </cell>
          <cell r="Y26">
            <v>6500</v>
          </cell>
        </row>
        <row r="27">
          <cell r="A27" t="str">
            <v>0</v>
          </cell>
          <cell r="B27">
            <v>25</v>
          </cell>
          <cell r="C27"/>
          <cell r="D27"/>
          <cell r="E27"/>
          <cell r="F27"/>
          <cell r="G27">
            <v>0</v>
          </cell>
          <cell r="H27">
            <v>0</v>
          </cell>
          <cell r="I27">
            <v>0</v>
          </cell>
          <cell r="J27">
            <v>0</v>
          </cell>
          <cell r="K27"/>
          <cell r="L27" t="str">
            <v xml:space="preserve">  </v>
          </cell>
          <cell r="M27" t="str">
            <v xml:space="preserve">  </v>
          </cell>
          <cell r="N27">
            <v>0</v>
          </cell>
          <cell r="O27">
            <v>0</v>
          </cell>
          <cell r="P27" t="str">
            <v xml:space="preserve">  </v>
          </cell>
          <cell r="Q27">
            <v>0</v>
          </cell>
          <cell r="R27" t="str">
            <v/>
          </cell>
          <cell r="S27">
            <v>9</v>
          </cell>
          <cell r="T27" t="str">
            <v/>
          </cell>
          <cell r="U27" t="str">
            <v/>
          </cell>
          <cell r="V27" t="str">
            <v/>
          </cell>
          <cell r="W27" t="str">
            <v/>
          </cell>
          <cell r="X27" t="str">
            <v>Do không có vật tư cùng chủng loại nên cấp phát vật tư tương đương</v>
          </cell>
          <cell r="Y27" t="e">
            <v>#N/A</v>
          </cell>
        </row>
        <row r="28">
          <cell r="A28" t="str">
            <v>0</v>
          </cell>
          <cell r="B28">
            <v>26</v>
          </cell>
          <cell r="C28"/>
          <cell r="D28"/>
          <cell r="E28"/>
          <cell r="F28"/>
          <cell r="G28">
            <v>0</v>
          </cell>
          <cell r="H28">
            <v>0</v>
          </cell>
          <cell r="I28">
            <v>0</v>
          </cell>
          <cell r="J28">
            <v>0</v>
          </cell>
          <cell r="K28"/>
          <cell r="L28" t="str">
            <v xml:space="preserve">  </v>
          </cell>
          <cell r="M28" t="str">
            <v xml:space="preserve">  </v>
          </cell>
          <cell r="N28">
            <v>0</v>
          </cell>
          <cell r="O28">
            <v>0</v>
          </cell>
          <cell r="P28" t="str">
            <v xml:space="preserve">  </v>
          </cell>
          <cell r="Q28">
            <v>0</v>
          </cell>
          <cell r="R28" t="str">
            <v/>
          </cell>
          <cell r="S28">
            <v>9</v>
          </cell>
          <cell r="T28" t="str">
            <v/>
          </cell>
          <cell r="U28" t="str">
            <v/>
          </cell>
          <cell r="V28" t="str">
            <v/>
          </cell>
          <cell r="W28" t="str">
            <v/>
          </cell>
          <cell r="X28" t="str">
            <v>Do không có vật tư cùng chủng loại nên cấp phát vật tư tương đương</v>
          </cell>
          <cell r="Y28" t="e">
            <v>#N/A</v>
          </cell>
        </row>
        <row r="29">
          <cell r="B29">
            <v>27</v>
          </cell>
          <cell r="C29"/>
          <cell r="D29"/>
          <cell r="E29"/>
          <cell r="F29"/>
          <cell r="G29">
            <v>0</v>
          </cell>
          <cell r="H29">
            <v>0</v>
          </cell>
          <cell r="I29">
            <v>0</v>
          </cell>
          <cell r="J29">
            <v>0</v>
          </cell>
          <cell r="K29"/>
          <cell r="L29" t="str">
            <v xml:space="preserve">  </v>
          </cell>
          <cell r="M29" t="str">
            <v xml:space="preserve">  </v>
          </cell>
          <cell r="N29">
            <v>0</v>
          </cell>
          <cell r="O29">
            <v>0</v>
          </cell>
          <cell r="P29" t="str">
            <v xml:space="preserve">  </v>
          </cell>
          <cell r="Q29">
            <v>0</v>
          </cell>
          <cell r="R29" t="str">
            <v/>
          </cell>
          <cell r="S29">
            <v>9</v>
          </cell>
          <cell r="T29" t="str">
            <v/>
          </cell>
          <cell r="U29" t="str">
            <v/>
          </cell>
          <cell r="V29" t="str">
            <v/>
          </cell>
          <cell r="W29" t="str">
            <v/>
          </cell>
          <cell r="X29" t="str">
            <v>Do không có vật tư cùng chủng loại nên cấp phát vật tư tương đương</v>
          </cell>
          <cell r="Y29" t="e">
            <v>#N/A</v>
          </cell>
        </row>
        <row r="30">
          <cell r="B30">
            <v>28</v>
          </cell>
          <cell r="C30"/>
          <cell r="D30"/>
          <cell r="E30"/>
          <cell r="F30"/>
          <cell r="G30">
            <v>0</v>
          </cell>
          <cell r="H30">
            <v>0</v>
          </cell>
          <cell r="I30">
            <v>0</v>
          </cell>
          <cell r="J30">
            <v>0</v>
          </cell>
          <cell r="K30"/>
          <cell r="L30" t="str">
            <v xml:space="preserve">  </v>
          </cell>
          <cell r="M30" t="str">
            <v xml:space="preserve">  </v>
          </cell>
          <cell r="N30">
            <v>0</v>
          </cell>
          <cell r="O30">
            <v>0</v>
          </cell>
          <cell r="P30" t="str">
            <v xml:space="preserve">  </v>
          </cell>
          <cell r="Q30">
            <v>0</v>
          </cell>
          <cell r="R30" t="str">
            <v/>
          </cell>
          <cell r="S30">
            <v>9</v>
          </cell>
          <cell r="T30" t="str">
            <v/>
          </cell>
          <cell r="U30" t="str">
            <v/>
          </cell>
          <cell r="V30" t="str">
            <v/>
          </cell>
          <cell r="W30" t="str">
            <v/>
          </cell>
          <cell r="X30" t="str">
            <v>Do không có vật tư cùng chủng loại nên cấp phát vật tư tương đương</v>
          </cell>
          <cell r="Y30" t="e">
            <v>#N/A</v>
          </cell>
        </row>
        <row r="31">
          <cell r="A31" t="str">
            <v>0</v>
          </cell>
          <cell r="B31">
            <v>29</v>
          </cell>
          <cell r="C31"/>
          <cell r="D31"/>
          <cell r="E31"/>
          <cell r="F31"/>
          <cell r="G31">
            <v>0</v>
          </cell>
          <cell r="H31">
            <v>0</v>
          </cell>
          <cell r="I31">
            <v>0</v>
          </cell>
          <cell r="J31">
            <v>0</v>
          </cell>
          <cell r="K31"/>
          <cell r="L31" t="str">
            <v xml:space="preserve">  </v>
          </cell>
          <cell r="M31" t="str">
            <v xml:space="preserve">  </v>
          </cell>
          <cell r="N31">
            <v>0</v>
          </cell>
          <cell r="O31">
            <v>0</v>
          </cell>
          <cell r="P31" t="str">
            <v xml:space="preserve">  </v>
          </cell>
          <cell r="Q31">
            <v>0</v>
          </cell>
          <cell r="R31" t="str">
            <v/>
          </cell>
          <cell r="S31">
            <v>9</v>
          </cell>
          <cell r="T31" t="str">
            <v/>
          </cell>
          <cell r="U31" t="str">
            <v/>
          </cell>
          <cell r="V31" t="str">
            <v/>
          </cell>
          <cell r="W31" t="str">
            <v/>
          </cell>
          <cell r="X31" t="str">
            <v>Do không có vật tư cùng chủng loại nên cấp phát vật tư tương đương</v>
          </cell>
          <cell r="Y31" t="e">
            <v>#N/A</v>
          </cell>
        </row>
        <row r="32">
          <cell r="B32">
            <v>30</v>
          </cell>
          <cell r="C32"/>
          <cell r="D32"/>
          <cell r="E32"/>
          <cell r="F32"/>
          <cell r="G32">
            <v>0</v>
          </cell>
          <cell r="H32">
            <v>0</v>
          </cell>
          <cell r="I32">
            <v>0</v>
          </cell>
          <cell r="J32">
            <v>0</v>
          </cell>
          <cell r="K32"/>
          <cell r="L32" t="str">
            <v xml:space="preserve">  </v>
          </cell>
          <cell r="M32" t="str">
            <v xml:space="preserve">  </v>
          </cell>
          <cell r="N32">
            <v>0</v>
          </cell>
          <cell r="O32">
            <v>0</v>
          </cell>
          <cell r="P32" t="str">
            <v xml:space="preserve">  </v>
          </cell>
          <cell r="Q32">
            <v>0</v>
          </cell>
          <cell r="R32" t="str">
            <v/>
          </cell>
          <cell r="S32">
            <v>9</v>
          </cell>
          <cell r="T32" t="str">
            <v/>
          </cell>
          <cell r="U32" t="str">
            <v/>
          </cell>
          <cell r="V32" t="str">
            <v/>
          </cell>
          <cell r="W32" t="str">
            <v/>
          </cell>
          <cell r="X32" t="str">
            <v>Do không có vật tư cùng chủng loại nên cấp phát vật tư tương đương</v>
          </cell>
          <cell r="Y32" t="e">
            <v>#N/A</v>
          </cell>
        </row>
        <row r="33">
          <cell r="A33" t="str">
            <v>0</v>
          </cell>
          <cell r="B33">
            <v>31</v>
          </cell>
          <cell r="C33"/>
          <cell r="D33"/>
          <cell r="E33"/>
          <cell r="F33"/>
          <cell r="G33">
            <v>0</v>
          </cell>
          <cell r="H33">
            <v>0</v>
          </cell>
          <cell r="I33">
            <v>0</v>
          </cell>
          <cell r="J33">
            <v>0</v>
          </cell>
          <cell r="K33"/>
          <cell r="L33" t="str">
            <v xml:space="preserve">  </v>
          </cell>
          <cell r="M33" t="str">
            <v xml:space="preserve">  </v>
          </cell>
          <cell r="N33">
            <v>0</v>
          </cell>
          <cell r="O33">
            <v>0</v>
          </cell>
          <cell r="P33" t="str">
            <v xml:space="preserve">  </v>
          </cell>
          <cell r="Q33">
            <v>0</v>
          </cell>
          <cell r="R33" t="str">
            <v/>
          </cell>
          <cell r="S33">
            <v>9</v>
          </cell>
          <cell r="T33" t="str">
            <v/>
          </cell>
          <cell r="U33" t="str">
            <v/>
          </cell>
          <cell r="V33" t="str">
            <v/>
          </cell>
          <cell r="W33" t="str">
            <v/>
          </cell>
          <cell r="X33" t="str">
            <v>Do không có vật tư cùng chủng loại nên cấp phát vật tư tương đương</v>
          </cell>
          <cell r="Y33" t="e">
            <v>#N/A</v>
          </cell>
        </row>
        <row r="34">
          <cell r="B34">
            <v>32</v>
          </cell>
          <cell r="C34"/>
          <cell r="D34"/>
          <cell r="E34"/>
          <cell r="F34"/>
          <cell r="G34">
            <v>0</v>
          </cell>
          <cell r="H34">
            <v>0</v>
          </cell>
          <cell r="I34">
            <v>0</v>
          </cell>
          <cell r="J34">
            <v>0</v>
          </cell>
          <cell r="K34"/>
          <cell r="L34" t="str">
            <v xml:space="preserve">  </v>
          </cell>
          <cell r="M34" t="str">
            <v xml:space="preserve">  </v>
          </cell>
          <cell r="N34">
            <v>0</v>
          </cell>
          <cell r="O34">
            <v>0</v>
          </cell>
          <cell r="P34" t="str">
            <v xml:space="preserve">  </v>
          </cell>
          <cell r="Q34">
            <v>0</v>
          </cell>
          <cell r="R34" t="str">
            <v/>
          </cell>
          <cell r="S34">
            <v>9</v>
          </cell>
          <cell r="T34" t="str">
            <v/>
          </cell>
          <cell r="U34" t="str">
            <v/>
          </cell>
          <cell r="V34" t="str">
            <v/>
          </cell>
          <cell r="W34" t="str">
            <v/>
          </cell>
          <cell r="X34" t="str">
            <v>Do không có vật tư cùng chủng loại nên cấp phát vật tư tương đương</v>
          </cell>
          <cell r="Y34" t="e">
            <v>#N/A</v>
          </cell>
        </row>
        <row r="35">
          <cell r="A35" t="str">
            <v>0</v>
          </cell>
          <cell r="B35">
            <v>33</v>
          </cell>
          <cell r="C35"/>
          <cell r="D35"/>
          <cell r="E35"/>
          <cell r="F35"/>
          <cell r="G35">
            <v>0</v>
          </cell>
          <cell r="H35">
            <v>0</v>
          </cell>
          <cell r="I35">
            <v>0</v>
          </cell>
          <cell r="J35">
            <v>0</v>
          </cell>
          <cell r="K35"/>
          <cell r="L35" t="str">
            <v xml:space="preserve">  </v>
          </cell>
          <cell r="M35" t="str">
            <v xml:space="preserve">  </v>
          </cell>
          <cell r="N35">
            <v>0</v>
          </cell>
          <cell r="O35">
            <v>0</v>
          </cell>
          <cell r="P35" t="str">
            <v xml:space="preserve">  </v>
          </cell>
          <cell r="Q35">
            <v>0</v>
          </cell>
          <cell r="R35" t="str">
            <v/>
          </cell>
          <cell r="S35">
            <v>9</v>
          </cell>
          <cell r="T35" t="str">
            <v/>
          </cell>
          <cell r="U35" t="str">
            <v/>
          </cell>
          <cell r="V35" t="str">
            <v/>
          </cell>
          <cell r="W35" t="str">
            <v/>
          </cell>
          <cell r="X35" t="str">
            <v>Do không có vật tư cùng chủng loại nên cấp phát vật tư tương đương</v>
          </cell>
          <cell r="Y35" t="e">
            <v>#N/A</v>
          </cell>
        </row>
        <row r="36">
          <cell r="A36" t="str">
            <v>0</v>
          </cell>
          <cell r="B36">
            <v>34</v>
          </cell>
          <cell r="C36"/>
          <cell r="D36"/>
          <cell r="E36"/>
          <cell r="F36"/>
          <cell r="G36">
            <v>0</v>
          </cell>
          <cell r="H36">
            <v>0</v>
          </cell>
          <cell r="I36">
            <v>0</v>
          </cell>
          <cell r="J36">
            <v>0</v>
          </cell>
          <cell r="K36"/>
          <cell r="L36" t="str">
            <v xml:space="preserve">  </v>
          </cell>
          <cell r="M36" t="str">
            <v xml:space="preserve">  </v>
          </cell>
          <cell r="N36">
            <v>0</v>
          </cell>
          <cell r="O36">
            <v>0</v>
          </cell>
          <cell r="P36" t="str">
            <v xml:space="preserve">  </v>
          </cell>
          <cell r="Q36">
            <v>0</v>
          </cell>
          <cell r="R36" t="str">
            <v/>
          </cell>
          <cell r="S36">
            <v>9</v>
          </cell>
          <cell r="T36" t="str">
            <v/>
          </cell>
          <cell r="U36" t="str">
            <v/>
          </cell>
          <cell r="V36" t="str">
            <v/>
          </cell>
          <cell r="W36" t="str">
            <v/>
          </cell>
          <cell r="X36" t="str">
            <v>Do không có vật tư cùng chủng loại nên cấp phát vật tư tương đương</v>
          </cell>
          <cell r="Y36" t="e">
            <v>#N/A</v>
          </cell>
        </row>
        <row r="37">
          <cell r="A37" t="str">
            <v>0</v>
          </cell>
          <cell r="B37">
            <v>35</v>
          </cell>
          <cell r="C37"/>
          <cell r="D37"/>
          <cell r="E37"/>
          <cell r="F37"/>
          <cell r="G37">
            <v>0</v>
          </cell>
          <cell r="H37">
            <v>0</v>
          </cell>
          <cell r="I37">
            <v>0</v>
          </cell>
          <cell r="J37">
            <v>0</v>
          </cell>
          <cell r="K37"/>
          <cell r="L37" t="str">
            <v xml:space="preserve">  </v>
          </cell>
          <cell r="M37" t="str">
            <v xml:space="preserve">  </v>
          </cell>
          <cell r="N37">
            <v>0</v>
          </cell>
          <cell r="O37">
            <v>0</v>
          </cell>
          <cell r="P37" t="str">
            <v xml:space="preserve">  </v>
          </cell>
          <cell r="Q37">
            <v>0</v>
          </cell>
          <cell r="R37" t="str">
            <v/>
          </cell>
          <cell r="S37">
            <v>9</v>
          </cell>
          <cell r="T37" t="str">
            <v/>
          </cell>
          <cell r="U37" t="str">
            <v/>
          </cell>
          <cell r="V37" t="str">
            <v/>
          </cell>
          <cell r="W37" t="str">
            <v/>
          </cell>
          <cell r="X37" t="str">
            <v>Do không có vật tư cùng chủng loại nên cấp phát vật tư tương đương</v>
          </cell>
          <cell r="Y37" t="e">
            <v>#N/A</v>
          </cell>
        </row>
        <row r="38">
          <cell r="A38" t="str">
            <v>0</v>
          </cell>
          <cell r="B38">
            <v>36</v>
          </cell>
          <cell r="C38"/>
          <cell r="D38"/>
          <cell r="E38"/>
          <cell r="F38"/>
          <cell r="G38">
            <v>0</v>
          </cell>
          <cell r="H38">
            <v>0</v>
          </cell>
          <cell r="I38">
            <v>0</v>
          </cell>
          <cell r="J38">
            <v>0</v>
          </cell>
          <cell r="K38"/>
          <cell r="L38" t="str">
            <v xml:space="preserve">  </v>
          </cell>
          <cell r="M38" t="str">
            <v xml:space="preserve">  </v>
          </cell>
          <cell r="N38">
            <v>0</v>
          </cell>
          <cell r="O38">
            <v>0</v>
          </cell>
          <cell r="P38" t="str">
            <v xml:space="preserve">  </v>
          </cell>
          <cell r="Q38">
            <v>0</v>
          </cell>
          <cell r="R38" t="str">
            <v/>
          </cell>
          <cell r="S38">
            <v>9</v>
          </cell>
          <cell r="T38" t="str">
            <v/>
          </cell>
          <cell r="U38" t="str">
            <v/>
          </cell>
          <cell r="V38" t="str">
            <v/>
          </cell>
          <cell r="W38" t="str">
            <v/>
          </cell>
          <cell r="X38" t="str">
            <v>Do không có vật tư cùng chủng loại nên cấp phát vật tư tương đương</v>
          </cell>
          <cell r="Y38" t="e">
            <v>#N/A</v>
          </cell>
        </row>
        <row r="39">
          <cell r="A39" t="str">
            <v>0</v>
          </cell>
          <cell r="B39">
            <v>37</v>
          </cell>
          <cell r="C39"/>
          <cell r="D39"/>
          <cell r="E39"/>
          <cell r="F39"/>
          <cell r="G39">
            <v>0</v>
          </cell>
          <cell r="H39">
            <v>0</v>
          </cell>
          <cell r="I39">
            <v>0</v>
          </cell>
          <cell r="J39">
            <v>0</v>
          </cell>
          <cell r="K39"/>
          <cell r="L39" t="str">
            <v xml:space="preserve">  </v>
          </cell>
          <cell r="M39" t="str">
            <v xml:space="preserve">  </v>
          </cell>
          <cell r="N39">
            <v>0</v>
          </cell>
          <cell r="O39">
            <v>0</v>
          </cell>
          <cell r="P39" t="str">
            <v xml:space="preserve">  </v>
          </cell>
          <cell r="Q39">
            <v>0</v>
          </cell>
          <cell r="R39" t="str">
            <v/>
          </cell>
          <cell r="S39">
            <v>9</v>
          </cell>
          <cell r="T39" t="str">
            <v/>
          </cell>
          <cell r="U39" t="str">
            <v/>
          </cell>
          <cell r="V39" t="str">
            <v/>
          </cell>
          <cell r="W39" t="str">
            <v/>
          </cell>
          <cell r="X39" t="str">
            <v>Do không có vật tư cùng chủng loại nên cấp phát vật tư tương đương</v>
          </cell>
          <cell r="Y39" t="e">
            <v>#N/A</v>
          </cell>
        </row>
        <row r="40">
          <cell r="A40" t="str">
            <v>0</v>
          </cell>
          <cell r="B40">
            <v>38</v>
          </cell>
          <cell r="C40"/>
          <cell r="D40"/>
          <cell r="E40"/>
          <cell r="F40"/>
          <cell r="G40">
            <v>0</v>
          </cell>
          <cell r="H40">
            <v>0</v>
          </cell>
          <cell r="I40">
            <v>0</v>
          </cell>
          <cell r="J40">
            <v>0</v>
          </cell>
          <cell r="K40"/>
          <cell r="L40" t="str">
            <v xml:space="preserve">  </v>
          </cell>
          <cell r="M40" t="str">
            <v xml:space="preserve">  </v>
          </cell>
          <cell r="N40">
            <v>0</v>
          </cell>
          <cell r="O40">
            <v>0</v>
          </cell>
          <cell r="P40" t="str">
            <v xml:space="preserve">  </v>
          </cell>
          <cell r="Q40">
            <v>0</v>
          </cell>
          <cell r="R40" t="str">
            <v/>
          </cell>
          <cell r="S40">
            <v>9</v>
          </cell>
          <cell r="T40" t="str">
            <v/>
          </cell>
          <cell r="U40" t="str">
            <v/>
          </cell>
          <cell r="V40" t="str">
            <v/>
          </cell>
          <cell r="W40" t="str">
            <v/>
          </cell>
          <cell r="X40" t="str">
            <v>Do không có vật tư cùng chủng loại nên cấp phát vật tư tương đương</v>
          </cell>
          <cell r="Y40" t="e">
            <v>#N/A</v>
          </cell>
        </row>
        <row r="41">
          <cell r="A41" t="str">
            <v>0</v>
          </cell>
          <cell r="B41">
            <v>39</v>
          </cell>
          <cell r="C41"/>
          <cell r="D41"/>
          <cell r="E41"/>
          <cell r="F41"/>
          <cell r="G41">
            <v>0</v>
          </cell>
          <cell r="H41">
            <v>0</v>
          </cell>
          <cell r="I41">
            <v>0</v>
          </cell>
          <cell r="J41">
            <v>0</v>
          </cell>
          <cell r="K41"/>
          <cell r="L41" t="str">
            <v xml:space="preserve">  </v>
          </cell>
          <cell r="M41" t="str">
            <v xml:space="preserve">  </v>
          </cell>
          <cell r="N41">
            <v>0</v>
          </cell>
          <cell r="O41">
            <v>0</v>
          </cell>
          <cell r="P41" t="str">
            <v xml:space="preserve">  </v>
          </cell>
          <cell r="Q41">
            <v>0</v>
          </cell>
          <cell r="R41" t="str">
            <v/>
          </cell>
          <cell r="S41">
            <v>9</v>
          </cell>
          <cell r="T41" t="str">
            <v/>
          </cell>
          <cell r="U41" t="str">
            <v/>
          </cell>
          <cell r="V41" t="str">
            <v/>
          </cell>
          <cell r="W41" t="str">
            <v/>
          </cell>
          <cell r="X41" t="str">
            <v>Do không có vật tư cùng chủng loại nên cấp phát vật tư tương đương</v>
          </cell>
          <cell r="Y41" t="e">
            <v>#N/A</v>
          </cell>
        </row>
        <row r="42">
          <cell r="B42">
            <v>40</v>
          </cell>
          <cell r="C42"/>
          <cell r="D42"/>
          <cell r="E42"/>
          <cell r="F42"/>
          <cell r="G42">
            <v>0</v>
          </cell>
          <cell r="H42">
            <v>0</v>
          </cell>
          <cell r="I42">
            <v>0</v>
          </cell>
          <cell r="J42">
            <v>0</v>
          </cell>
          <cell r="K42"/>
          <cell r="L42" t="str">
            <v xml:space="preserve">  </v>
          </cell>
          <cell r="M42" t="str">
            <v xml:space="preserve">  </v>
          </cell>
          <cell r="N42">
            <v>0</v>
          </cell>
          <cell r="O42">
            <v>0</v>
          </cell>
          <cell r="P42" t="str">
            <v xml:space="preserve">  </v>
          </cell>
          <cell r="Q42">
            <v>0</v>
          </cell>
          <cell r="R42" t="str">
            <v/>
          </cell>
          <cell r="S42">
            <v>9</v>
          </cell>
          <cell r="T42" t="str">
            <v/>
          </cell>
          <cell r="U42" t="str">
            <v/>
          </cell>
          <cell r="V42" t="str">
            <v/>
          </cell>
          <cell r="W42" t="str">
            <v/>
          </cell>
          <cell r="X42" t="str">
            <v>Do không có vật tư cùng chủng loại nên cấp phát vật tư tương đương</v>
          </cell>
          <cell r="Y42" t="e">
            <v>#N/A</v>
          </cell>
        </row>
        <row r="43">
          <cell r="A43" t="str">
            <v>0</v>
          </cell>
          <cell r="B43">
            <v>41</v>
          </cell>
          <cell r="C43"/>
          <cell r="D43"/>
          <cell r="E43"/>
          <cell r="F43"/>
          <cell r="G43">
            <v>0</v>
          </cell>
          <cell r="H43">
            <v>0</v>
          </cell>
          <cell r="I43">
            <v>0</v>
          </cell>
          <cell r="J43">
            <v>0</v>
          </cell>
          <cell r="K43"/>
          <cell r="L43" t="str">
            <v xml:space="preserve">  </v>
          </cell>
          <cell r="M43" t="str">
            <v xml:space="preserve">  </v>
          </cell>
          <cell r="N43">
            <v>0</v>
          </cell>
          <cell r="O43">
            <v>0</v>
          </cell>
          <cell r="P43" t="str">
            <v xml:space="preserve">  </v>
          </cell>
          <cell r="Q43">
            <v>0</v>
          </cell>
          <cell r="R43" t="str">
            <v/>
          </cell>
          <cell r="S43">
            <v>9</v>
          </cell>
          <cell r="T43" t="str">
            <v/>
          </cell>
          <cell r="U43" t="str">
            <v/>
          </cell>
          <cell r="V43" t="str">
            <v/>
          </cell>
          <cell r="W43" t="str">
            <v/>
          </cell>
          <cell r="X43" t="str">
            <v>Do không có vật tư cùng chủng loại nên cấp phát vật tư tương đương</v>
          </cell>
          <cell r="Y43" t="e">
            <v>#N/A</v>
          </cell>
        </row>
        <row r="44">
          <cell r="B44">
            <v>42</v>
          </cell>
          <cell r="C44"/>
          <cell r="D44"/>
          <cell r="E44"/>
          <cell r="F44"/>
          <cell r="G44">
            <v>0</v>
          </cell>
          <cell r="H44">
            <v>0</v>
          </cell>
          <cell r="I44">
            <v>0</v>
          </cell>
          <cell r="J44">
            <v>0</v>
          </cell>
          <cell r="K44"/>
          <cell r="L44" t="str">
            <v xml:space="preserve">  </v>
          </cell>
          <cell r="M44" t="str">
            <v xml:space="preserve">  </v>
          </cell>
          <cell r="N44">
            <v>0</v>
          </cell>
          <cell r="O44">
            <v>0</v>
          </cell>
          <cell r="P44" t="str">
            <v xml:space="preserve">  </v>
          </cell>
          <cell r="Q44">
            <v>0</v>
          </cell>
          <cell r="R44" t="str">
            <v/>
          </cell>
          <cell r="S44">
            <v>9</v>
          </cell>
          <cell r="T44" t="str">
            <v/>
          </cell>
          <cell r="U44" t="str">
            <v/>
          </cell>
          <cell r="V44" t="str">
            <v/>
          </cell>
          <cell r="W44" t="str">
            <v/>
          </cell>
          <cell r="X44" t="str">
            <v>Do không có vật tư cùng chủng loại nên cấp phát vật tư tương đương</v>
          </cell>
          <cell r="Y44" t="e">
            <v>#N/A</v>
          </cell>
        </row>
        <row r="45">
          <cell r="A45" t="str">
            <v>0</v>
          </cell>
          <cell r="B45">
            <v>43</v>
          </cell>
          <cell r="C45"/>
          <cell r="D45"/>
          <cell r="E45"/>
          <cell r="F45"/>
          <cell r="G45">
            <v>0</v>
          </cell>
          <cell r="H45">
            <v>0</v>
          </cell>
          <cell r="I45">
            <v>0</v>
          </cell>
          <cell r="J45">
            <v>0</v>
          </cell>
          <cell r="K45"/>
          <cell r="L45" t="str">
            <v xml:space="preserve">  </v>
          </cell>
          <cell r="M45" t="str">
            <v xml:space="preserve">  </v>
          </cell>
          <cell r="N45">
            <v>0</v>
          </cell>
          <cell r="O45">
            <v>0</v>
          </cell>
          <cell r="P45" t="str">
            <v xml:space="preserve">  </v>
          </cell>
          <cell r="Q45">
            <v>0</v>
          </cell>
          <cell r="R45" t="str">
            <v/>
          </cell>
          <cell r="S45">
            <v>9</v>
          </cell>
          <cell r="T45" t="str">
            <v/>
          </cell>
          <cell r="U45" t="str">
            <v/>
          </cell>
          <cell r="V45" t="str">
            <v/>
          </cell>
          <cell r="W45" t="str">
            <v/>
          </cell>
          <cell r="X45" t="str">
            <v>Do không có vật tư cùng chủng loại nên cấp phát vật tư tương đương</v>
          </cell>
          <cell r="Y45" t="e">
            <v>#N/A</v>
          </cell>
        </row>
        <row r="46">
          <cell r="B46">
            <v>44</v>
          </cell>
          <cell r="C46"/>
          <cell r="D46"/>
          <cell r="E46"/>
          <cell r="F46"/>
          <cell r="G46">
            <v>0</v>
          </cell>
          <cell r="H46">
            <v>0</v>
          </cell>
          <cell r="I46">
            <v>0</v>
          </cell>
          <cell r="J46">
            <v>0</v>
          </cell>
          <cell r="K46"/>
          <cell r="L46" t="str">
            <v xml:space="preserve">  </v>
          </cell>
          <cell r="M46" t="str">
            <v xml:space="preserve">  </v>
          </cell>
          <cell r="N46">
            <v>0</v>
          </cell>
          <cell r="O46">
            <v>0</v>
          </cell>
          <cell r="P46" t="str">
            <v xml:space="preserve">  </v>
          </cell>
          <cell r="Q46">
            <v>0</v>
          </cell>
          <cell r="R46" t="str">
            <v/>
          </cell>
          <cell r="S46">
            <v>9</v>
          </cell>
          <cell r="T46" t="str">
            <v/>
          </cell>
          <cell r="U46" t="str">
            <v/>
          </cell>
          <cell r="V46" t="str">
            <v/>
          </cell>
          <cell r="W46" t="str">
            <v/>
          </cell>
          <cell r="X46" t="str">
            <v>Do không có vật tư cùng chủng loại nên cấp phát vật tư tương đương</v>
          </cell>
          <cell r="Y46" t="e">
            <v>#N/A</v>
          </cell>
        </row>
        <row r="47">
          <cell r="A47" t="str">
            <v>0</v>
          </cell>
          <cell r="B47">
            <v>45</v>
          </cell>
          <cell r="C47"/>
          <cell r="D47"/>
          <cell r="E47"/>
          <cell r="F47"/>
          <cell r="G47">
            <v>0</v>
          </cell>
          <cell r="H47">
            <v>0</v>
          </cell>
          <cell r="I47">
            <v>0</v>
          </cell>
          <cell r="J47">
            <v>0</v>
          </cell>
          <cell r="K47"/>
          <cell r="L47" t="str">
            <v xml:space="preserve">  </v>
          </cell>
          <cell r="M47" t="str">
            <v xml:space="preserve">  </v>
          </cell>
          <cell r="N47">
            <v>0</v>
          </cell>
          <cell r="O47">
            <v>0</v>
          </cell>
          <cell r="P47" t="str">
            <v xml:space="preserve">  </v>
          </cell>
          <cell r="Q47">
            <v>0</v>
          </cell>
          <cell r="R47" t="str">
            <v/>
          </cell>
          <cell r="S47">
            <v>9</v>
          </cell>
          <cell r="T47" t="str">
            <v/>
          </cell>
          <cell r="U47" t="str">
            <v/>
          </cell>
          <cell r="V47" t="str">
            <v/>
          </cell>
          <cell r="W47" t="str">
            <v/>
          </cell>
          <cell r="X47" t="str">
            <v>Do không có vật tư cùng chủng loại nên cấp phát vật tư tương đương</v>
          </cell>
          <cell r="Y47" t="e">
            <v>#N/A</v>
          </cell>
        </row>
        <row r="48">
          <cell r="A48" t="str">
            <v>0</v>
          </cell>
          <cell r="B48">
            <v>46</v>
          </cell>
          <cell r="C48"/>
          <cell r="D48"/>
          <cell r="E48"/>
          <cell r="F48"/>
          <cell r="G48">
            <v>0</v>
          </cell>
          <cell r="H48">
            <v>0</v>
          </cell>
          <cell r="I48">
            <v>0</v>
          </cell>
          <cell r="J48">
            <v>0</v>
          </cell>
          <cell r="K48"/>
          <cell r="L48" t="str">
            <v xml:space="preserve">  </v>
          </cell>
          <cell r="M48" t="str">
            <v xml:space="preserve">  </v>
          </cell>
          <cell r="N48">
            <v>0</v>
          </cell>
          <cell r="O48">
            <v>0</v>
          </cell>
          <cell r="P48" t="str">
            <v xml:space="preserve">  </v>
          </cell>
          <cell r="Q48">
            <v>0</v>
          </cell>
          <cell r="R48" t="str">
            <v/>
          </cell>
          <cell r="S48">
            <v>9</v>
          </cell>
          <cell r="T48" t="str">
            <v/>
          </cell>
          <cell r="U48" t="str">
            <v/>
          </cell>
          <cell r="V48" t="str">
            <v/>
          </cell>
          <cell r="W48" t="str">
            <v/>
          </cell>
          <cell r="X48" t="str">
            <v>Do không có vật tư cùng chủng loại nên cấp phát vật tư tương đương</v>
          </cell>
          <cell r="Y48" t="e">
            <v>#N/A</v>
          </cell>
        </row>
        <row r="49">
          <cell r="B49">
            <v>47</v>
          </cell>
          <cell r="C49"/>
          <cell r="D49"/>
          <cell r="E49"/>
          <cell r="F49"/>
          <cell r="G49">
            <v>0</v>
          </cell>
          <cell r="H49">
            <v>0</v>
          </cell>
          <cell r="I49">
            <v>0</v>
          </cell>
          <cell r="J49">
            <v>0</v>
          </cell>
          <cell r="K49"/>
          <cell r="L49" t="str">
            <v xml:space="preserve">  </v>
          </cell>
          <cell r="M49" t="str">
            <v xml:space="preserve">  </v>
          </cell>
          <cell r="N49">
            <v>0</v>
          </cell>
          <cell r="O49">
            <v>0</v>
          </cell>
          <cell r="P49" t="str">
            <v xml:space="preserve">  </v>
          </cell>
          <cell r="Q49">
            <v>0</v>
          </cell>
          <cell r="R49" t="str">
            <v/>
          </cell>
          <cell r="S49">
            <v>9</v>
          </cell>
          <cell r="T49" t="str">
            <v/>
          </cell>
          <cell r="U49" t="str">
            <v/>
          </cell>
          <cell r="V49" t="str">
            <v/>
          </cell>
          <cell r="W49" t="str">
            <v/>
          </cell>
          <cell r="X49" t="str">
            <v>Do không có vật tư cùng chủng loại nên cấp phát vật tư tương đương</v>
          </cell>
          <cell r="Y49" t="e">
            <v>#N/A</v>
          </cell>
        </row>
        <row r="50">
          <cell r="B50">
            <v>48</v>
          </cell>
          <cell r="C50"/>
          <cell r="D50"/>
          <cell r="E50"/>
          <cell r="F50"/>
          <cell r="G50">
            <v>0</v>
          </cell>
          <cell r="H50">
            <v>0</v>
          </cell>
          <cell r="I50">
            <v>0</v>
          </cell>
          <cell r="J50">
            <v>0</v>
          </cell>
          <cell r="K50"/>
          <cell r="L50" t="str">
            <v xml:space="preserve">  </v>
          </cell>
          <cell r="M50" t="str">
            <v xml:space="preserve">  </v>
          </cell>
          <cell r="N50">
            <v>0</v>
          </cell>
          <cell r="O50">
            <v>0</v>
          </cell>
          <cell r="P50" t="str">
            <v xml:space="preserve">  </v>
          </cell>
          <cell r="Q50">
            <v>0</v>
          </cell>
          <cell r="R50" t="str">
            <v/>
          </cell>
          <cell r="S50">
            <v>9</v>
          </cell>
          <cell r="T50" t="str">
            <v/>
          </cell>
          <cell r="U50" t="str">
            <v/>
          </cell>
          <cell r="V50" t="str">
            <v/>
          </cell>
          <cell r="W50" t="str">
            <v/>
          </cell>
          <cell r="X50" t="str">
            <v>Do không có vật tư cùng chủng loại nên cấp phát vật tư tương đương</v>
          </cell>
          <cell r="Y50" t="e">
            <v>#N/A</v>
          </cell>
        </row>
        <row r="51">
          <cell r="B51">
            <v>49</v>
          </cell>
          <cell r="C51"/>
          <cell r="D51"/>
          <cell r="E51"/>
          <cell r="F51"/>
          <cell r="G51">
            <v>0</v>
          </cell>
          <cell r="H51">
            <v>0</v>
          </cell>
          <cell r="I51">
            <v>0</v>
          </cell>
          <cell r="J51">
            <v>0</v>
          </cell>
          <cell r="K51"/>
          <cell r="L51" t="str">
            <v xml:space="preserve">  </v>
          </cell>
          <cell r="M51" t="str">
            <v xml:space="preserve">  </v>
          </cell>
          <cell r="N51">
            <v>0</v>
          </cell>
          <cell r="O51">
            <v>0</v>
          </cell>
          <cell r="P51" t="str">
            <v xml:space="preserve">  </v>
          </cell>
          <cell r="Q51">
            <v>0</v>
          </cell>
          <cell r="R51" t="str">
            <v/>
          </cell>
          <cell r="S51">
            <v>9</v>
          </cell>
          <cell r="T51" t="str">
            <v/>
          </cell>
          <cell r="U51" t="str">
            <v/>
          </cell>
          <cell r="V51" t="str">
            <v/>
          </cell>
          <cell r="W51" t="str">
            <v/>
          </cell>
          <cell r="X51" t="str">
            <v>Do không có vật tư cùng chủng loại nên cấp phát vật tư tương đương</v>
          </cell>
          <cell r="Y51" t="e">
            <v>#N/A</v>
          </cell>
        </row>
        <row r="52">
          <cell r="A52" t="str">
            <v>0</v>
          </cell>
          <cell r="B52">
            <v>50</v>
          </cell>
          <cell r="C52"/>
          <cell r="D52"/>
          <cell r="E52"/>
          <cell r="F52"/>
          <cell r="G52">
            <v>0</v>
          </cell>
          <cell r="H52">
            <v>0</v>
          </cell>
          <cell r="I52">
            <v>0</v>
          </cell>
          <cell r="J52">
            <v>0</v>
          </cell>
          <cell r="K52"/>
          <cell r="L52" t="str">
            <v xml:space="preserve">  </v>
          </cell>
          <cell r="M52" t="str">
            <v xml:space="preserve">  </v>
          </cell>
          <cell r="N52">
            <v>0</v>
          </cell>
          <cell r="O52">
            <v>0</v>
          </cell>
          <cell r="P52" t="str">
            <v xml:space="preserve">  </v>
          </cell>
          <cell r="Q52">
            <v>0</v>
          </cell>
          <cell r="R52" t="str">
            <v/>
          </cell>
          <cell r="S52">
            <v>9</v>
          </cell>
          <cell r="T52" t="str">
            <v/>
          </cell>
          <cell r="U52" t="str">
            <v/>
          </cell>
          <cell r="V52" t="str">
            <v/>
          </cell>
          <cell r="W52" t="str">
            <v/>
          </cell>
          <cell r="X52" t="str">
            <v>Do không có vật tư cùng chủng loại nên cấp phát vật tư tương đương</v>
          </cell>
          <cell r="Y52" t="e">
            <v>#N/A</v>
          </cell>
        </row>
        <row r="53">
          <cell r="A53" t="str">
            <v>0</v>
          </cell>
          <cell r="B53">
            <v>51</v>
          </cell>
          <cell r="C53"/>
          <cell r="D53"/>
          <cell r="E53"/>
          <cell r="F53"/>
          <cell r="G53">
            <v>0</v>
          </cell>
          <cell r="H53">
            <v>0</v>
          </cell>
          <cell r="I53">
            <v>0</v>
          </cell>
          <cell r="J53">
            <v>0</v>
          </cell>
          <cell r="K53"/>
          <cell r="L53" t="str">
            <v xml:space="preserve">  </v>
          </cell>
          <cell r="M53" t="str">
            <v xml:space="preserve">  </v>
          </cell>
          <cell r="N53">
            <v>0</v>
          </cell>
          <cell r="O53">
            <v>0</v>
          </cell>
          <cell r="P53" t="str">
            <v xml:space="preserve">  </v>
          </cell>
          <cell r="Q53">
            <v>0</v>
          </cell>
          <cell r="R53" t="str">
            <v/>
          </cell>
          <cell r="S53">
            <v>9</v>
          </cell>
          <cell r="T53" t="str">
            <v/>
          </cell>
          <cell r="U53" t="str">
            <v/>
          </cell>
          <cell r="V53" t="str">
            <v/>
          </cell>
          <cell r="W53" t="str">
            <v/>
          </cell>
          <cell r="X53" t="str">
            <v>Do không có vật tư cùng chủng loại nên cấp phát vật tư tương đương</v>
          </cell>
          <cell r="Y53" t="e">
            <v>#N/A</v>
          </cell>
        </row>
        <row r="54">
          <cell r="A54" t="str">
            <v>0</v>
          </cell>
          <cell r="B54">
            <v>52</v>
          </cell>
          <cell r="C54"/>
          <cell r="D54"/>
          <cell r="E54"/>
          <cell r="F54"/>
          <cell r="G54">
            <v>0</v>
          </cell>
          <cell r="H54">
            <v>0</v>
          </cell>
          <cell r="I54">
            <v>0</v>
          </cell>
          <cell r="J54">
            <v>0</v>
          </cell>
          <cell r="K54"/>
          <cell r="L54" t="str">
            <v xml:space="preserve">  </v>
          </cell>
          <cell r="M54" t="str">
            <v xml:space="preserve">  </v>
          </cell>
          <cell r="N54">
            <v>0</v>
          </cell>
          <cell r="O54">
            <v>0</v>
          </cell>
          <cell r="P54" t="str">
            <v xml:space="preserve">  </v>
          </cell>
          <cell r="Q54">
            <v>0</v>
          </cell>
          <cell r="R54" t="str">
            <v/>
          </cell>
          <cell r="S54">
            <v>9</v>
          </cell>
          <cell r="T54" t="str">
            <v/>
          </cell>
          <cell r="U54" t="str">
            <v/>
          </cell>
          <cell r="V54" t="str">
            <v/>
          </cell>
          <cell r="W54" t="str">
            <v/>
          </cell>
          <cell r="X54" t="str">
            <v>Do không có vật tư cùng chủng loại nên cấp phát vật tư tương đương</v>
          </cell>
          <cell r="Y54" t="e">
            <v>#N/A</v>
          </cell>
        </row>
        <row r="55">
          <cell r="A55" t="str">
            <v>0</v>
          </cell>
          <cell r="B55">
            <v>53</v>
          </cell>
          <cell r="C55"/>
          <cell r="D55"/>
          <cell r="E55"/>
          <cell r="F55"/>
          <cell r="G55">
            <v>0</v>
          </cell>
          <cell r="H55">
            <v>0</v>
          </cell>
          <cell r="I55">
            <v>0</v>
          </cell>
          <cell r="J55">
            <v>0</v>
          </cell>
          <cell r="K55"/>
          <cell r="L55" t="str">
            <v xml:space="preserve">  </v>
          </cell>
          <cell r="M55" t="str">
            <v xml:space="preserve">  </v>
          </cell>
          <cell r="N55">
            <v>0</v>
          </cell>
          <cell r="O55">
            <v>0</v>
          </cell>
          <cell r="P55" t="str">
            <v xml:space="preserve">  </v>
          </cell>
          <cell r="Q55">
            <v>0</v>
          </cell>
          <cell r="R55" t="str">
            <v/>
          </cell>
          <cell r="S55">
            <v>9</v>
          </cell>
          <cell r="T55" t="str">
            <v/>
          </cell>
          <cell r="U55" t="str">
            <v/>
          </cell>
          <cell r="V55" t="str">
            <v/>
          </cell>
          <cell r="W55" t="str">
            <v/>
          </cell>
          <cell r="X55" t="str">
            <v>Kho không còn vật tư</v>
          </cell>
          <cell r="Y55" t="e">
            <v>#N/A</v>
          </cell>
        </row>
        <row r="56">
          <cell r="A56" t="str">
            <v>0</v>
          </cell>
          <cell r="B56">
            <v>54</v>
          </cell>
          <cell r="C56"/>
          <cell r="D56"/>
          <cell r="E56"/>
          <cell r="F56"/>
          <cell r="G56">
            <v>0</v>
          </cell>
          <cell r="H56">
            <v>0</v>
          </cell>
          <cell r="I56">
            <v>0</v>
          </cell>
          <cell r="J56">
            <v>0</v>
          </cell>
          <cell r="K56"/>
          <cell r="L56" t="str">
            <v xml:space="preserve">  </v>
          </cell>
          <cell r="M56" t="str">
            <v xml:space="preserve">  </v>
          </cell>
          <cell r="N56">
            <v>0</v>
          </cell>
          <cell r="O56">
            <v>0</v>
          </cell>
          <cell r="P56" t="str">
            <v xml:space="preserve">  </v>
          </cell>
          <cell r="Q56">
            <v>0</v>
          </cell>
          <cell r="R56" t="str">
            <v/>
          </cell>
          <cell r="S56">
            <v>9</v>
          </cell>
          <cell r="T56" t="str">
            <v/>
          </cell>
          <cell r="U56" t="str">
            <v/>
          </cell>
          <cell r="V56" t="str">
            <v/>
          </cell>
          <cell r="W56" t="str">
            <v/>
          </cell>
          <cell r="X56" t="str">
            <v>Do không có vật tư cùng chủng loại nên cấp phát vật tư tương đương</v>
          </cell>
          <cell r="Y56" t="e">
            <v>#N/A</v>
          </cell>
        </row>
        <row r="57">
          <cell r="A57" t="str">
            <v>0</v>
          </cell>
          <cell r="B57">
            <v>55</v>
          </cell>
          <cell r="C57"/>
          <cell r="D57"/>
          <cell r="E57"/>
          <cell r="F57"/>
          <cell r="G57">
            <v>0</v>
          </cell>
          <cell r="H57">
            <v>0</v>
          </cell>
          <cell r="I57">
            <v>0</v>
          </cell>
          <cell r="J57">
            <v>0</v>
          </cell>
          <cell r="K57"/>
          <cell r="L57" t="str">
            <v xml:space="preserve">  </v>
          </cell>
          <cell r="M57" t="str">
            <v xml:space="preserve">  </v>
          </cell>
          <cell r="N57">
            <v>0</v>
          </cell>
          <cell r="O57">
            <v>0</v>
          </cell>
          <cell r="P57" t="str">
            <v xml:space="preserve">  </v>
          </cell>
          <cell r="Q57">
            <v>0</v>
          </cell>
          <cell r="R57" t="str">
            <v/>
          </cell>
          <cell r="S57">
            <v>9</v>
          </cell>
          <cell r="T57" t="str">
            <v/>
          </cell>
          <cell r="U57" t="str">
            <v/>
          </cell>
          <cell r="V57" t="str">
            <v/>
          </cell>
          <cell r="W57" t="str">
            <v/>
          </cell>
          <cell r="X57" t="str">
            <v>Thiết kế thiếu</v>
          </cell>
          <cell r="Y57" t="e">
            <v>#N/A</v>
          </cell>
        </row>
        <row r="58">
          <cell r="A58" t="str">
            <v>0</v>
          </cell>
          <cell r="B58">
            <v>56</v>
          </cell>
          <cell r="C58"/>
          <cell r="D58"/>
          <cell r="E58"/>
          <cell r="F58"/>
          <cell r="G58">
            <v>0</v>
          </cell>
          <cell r="H58">
            <v>0</v>
          </cell>
          <cell r="I58">
            <v>0</v>
          </cell>
          <cell r="J58">
            <v>0</v>
          </cell>
          <cell r="K58"/>
          <cell r="L58" t="str">
            <v xml:space="preserve">  </v>
          </cell>
          <cell r="M58" t="str">
            <v xml:space="preserve">  </v>
          </cell>
          <cell r="N58">
            <v>0</v>
          </cell>
          <cell r="O58">
            <v>0</v>
          </cell>
          <cell r="P58" t="str">
            <v xml:space="preserve">  </v>
          </cell>
          <cell r="Q58">
            <v>0</v>
          </cell>
          <cell r="R58" t="str">
            <v/>
          </cell>
          <cell r="S58">
            <v>9</v>
          </cell>
          <cell r="T58" t="str">
            <v/>
          </cell>
          <cell r="U58" t="str">
            <v/>
          </cell>
          <cell r="V58" t="str">
            <v/>
          </cell>
          <cell r="W58" t="str">
            <v/>
          </cell>
          <cell r="X58" t="str">
            <v>Thiết kế thiếu</v>
          </cell>
          <cell r="Y58" t="e">
            <v>#N/A</v>
          </cell>
        </row>
        <row r="59">
          <cell r="A59" t="str">
            <v>0</v>
          </cell>
          <cell r="B59">
            <v>57</v>
          </cell>
          <cell r="C59"/>
          <cell r="D59"/>
          <cell r="E59"/>
          <cell r="F59"/>
          <cell r="G59">
            <v>0</v>
          </cell>
          <cell r="H59">
            <v>0</v>
          </cell>
          <cell r="I59">
            <v>0</v>
          </cell>
          <cell r="J59">
            <v>0</v>
          </cell>
          <cell r="K59"/>
          <cell r="L59" t="str">
            <v xml:space="preserve">  </v>
          </cell>
          <cell r="M59" t="str">
            <v xml:space="preserve">  </v>
          </cell>
          <cell r="N59">
            <v>0</v>
          </cell>
          <cell r="O59">
            <v>0</v>
          </cell>
          <cell r="P59" t="str">
            <v xml:space="preserve">  </v>
          </cell>
          <cell r="Q59">
            <v>0</v>
          </cell>
          <cell r="R59" t="str">
            <v/>
          </cell>
          <cell r="S59">
            <v>9</v>
          </cell>
          <cell r="T59" t="str">
            <v/>
          </cell>
          <cell r="U59" t="str">
            <v/>
          </cell>
          <cell r="V59" t="str">
            <v/>
          </cell>
          <cell r="W59" t="str">
            <v/>
          </cell>
          <cell r="X59" t="str">
            <v>Thiết kế thiếu</v>
          </cell>
          <cell r="Y59" t="e">
            <v>#N/A</v>
          </cell>
        </row>
        <row r="60">
          <cell r="A60" t="str">
            <v>0</v>
          </cell>
          <cell r="B60">
            <v>58</v>
          </cell>
          <cell r="C60"/>
          <cell r="D60"/>
          <cell r="E60"/>
          <cell r="F60"/>
          <cell r="G60">
            <v>0</v>
          </cell>
          <cell r="H60">
            <v>0</v>
          </cell>
          <cell r="I60">
            <v>0</v>
          </cell>
          <cell r="J60">
            <v>0</v>
          </cell>
          <cell r="K60"/>
          <cell r="L60" t="str">
            <v xml:space="preserve">  </v>
          </cell>
          <cell r="M60" t="str">
            <v xml:space="preserve">  </v>
          </cell>
          <cell r="N60">
            <v>0</v>
          </cell>
          <cell r="O60">
            <v>0</v>
          </cell>
          <cell r="P60" t="str">
            <v xml:space="preserve">  </v>
          </cell>
          <cell r="Q60">
            <v>0</v>
          </cell>
          <cell r="R60" t="str">
            <v/>
          </cell>
          <cell r="S60">
            <v>9</v>
          </cell>
          <cell r="T60" t="str">
            <v/>
          </cell>
          <cell r="U60" t="str">
            <v/>
          </cell>
          <cell r="V60" t="str">
            <v/>
          </cell>
          <cell r="W60" t="str">
            <v/>
          </cell>
          <cell r="X60" t="str">
            <v>Thiết kế thiếu</v>
          </cell>
          <cell r="Y60" t="e">
            <v>#N/A</v>
          </cell>
        </row>
        <row r="61">
          <cell r="A61" t="str">
            <v>0</v>
          </cell>
          <cell r="B61">
            <v>59</v>
          </cell>
          <cell r="C61"/>
          <cell r="D61"/>
          <cell r="E61"/>
          <cell r="F61"/>
          <cell r="G61">
            <v>0</v>
          </cell>
          <cell r="H61">
            <v>0</v>
          </cell>
          <cell r="I61">
            <v>0</v>
          </cell>
          <cell r="J61">
            <v>0</v>
          </cell>
          <cell r="K61"/>
          <cell r="L61" t="str">
            <v xml:space="preserve">  </v>
          </cell>
          <cell r="M61" t="str">
            <v xml:space="preserve">  </v>
          </cell>
          <cell r="N61">
            <v>0</v>
          </cell>
          <cell r="O61">
            <v>0</v>
          </cell>
          <cell r="P61" t="str">
            <v xml:space="preserve">  </v>
          </cell>
          <cell r="Q61">
            <v>0</v>
          </cell>
          <cell r="R61" t="str">
            <v/>
          </cell>
          <cell r="S61">
            <v>9</v>
          </cell>
          <cell r="T61" t="str">
            <v/>
          </cell>
          <cell r="U61" t="str">
            <v/>
          </cell>
          <cell r="V61" t="str">
            <v/>
          </cell>
          <cell r="W61" t="str">
            <v/>
          </cell>
          <cell r="X61" t="str">
            <v>Thiết kế thiếu</v>
          </cell>
          <cell r="Y61" t="e">
            <v>#N/A</v>
          </cell>
        </row>
        <row r="62">
          <cell r="A62" t="str">
            <v>0</v>
          </cell>
          <cell r="B62">
            <v>60</v>
          </cell>
          <cell r="C62"/>
          <cell r="D62"/>
          <cell r="E62"/>
          <cell r="F62"/>
          <cell r="G62">
            <v>0</v>
          </cell>
          <cell r="H62">
            <v>0</v>
          </cell>
          <cell r="I62">
            <v>0</v>
          </cell>
          <cell r="J62">
            <v>0</v>
          </cell>
          <cell r="K62"/>
          <cell r="L62" t="str">
            <v xml:space="preserve">  </v>
          </cell>
          <cell r="M62" t="str">
            <v xml:space="preserve">  </v>
          </cell>
          <cell r="N62">
            <v>0</v>
          </cell>
          <cell r="O62">
            <v>0</v>
          </cell>
          <cell r="P62" t="str">
            <v xml:space="preserve">  </v>
          </cell>
          <cell r="Q62">
            <v>0</v>
          </cell>
          <cell r="R62" t="str">
            <v/>
          </cell>
          <cell r="S62">
            <v>9</v>
          </cell>
          <cell r="T62" t="str">
            <v/>
          </cell>
          <cell r="U62" t="str">
            <v/>
          </cell>
          <cell r="V62" t="str">
            <v/>
          </cell>
          <cell r="W62" t="str">
            <v/>
          </cell>
          <cell r="X62" t="str">
            <v>Thiết kế thiếu</v>
          </cell>
          <cell r="Y62" t="e">
            <v>#N/A</v>
          </cell>
        </row>
        <row r="63">
          <cell r="A63" t="str">
            <v>0</v>
          </cell>
          <cell r="B63">
            <v>61</v>
          </cell>
          <cell r="C63"/>
          <cell r="D63"/>
          <cell r="E63"/>
          <cell r="F63"/>
          <cell r="G63">
            <v>0</v>
          </cell>
          <cell r="H63">
            <v>0</v>
          </cell>
          <cell r="I63">
            <v>0</v>
          </cell>
          <cell r="J63">
            <v>0</v>
          </cell>
          <cell r="K63"/>
          <cell r="L63" t="str">
            <v xml:space="preserve">  </v>
          </cell>
          <cell r="M63" t="str">
            <v xml:space="preserve">  </v>
          </cell>
          <cell r="N63">
            <v>0</v>
          </cell>
          <cell r="O63">
            <v>0</v>
          </cell>
          <cell r="P63" t="str">
            <v xml:space="preserve">  </v>
          </cell>
          <cell r="Q63">
            <v>0</v>
          </cell>
          <cell r="R63" t="str">
            <v/>
          </cell>
          <cell r="S63">
            <v>9</v>
          </cell>
          <cell r="T63" t="str">
            <v/>
          </cell>
          <cell r="U63" t="str">
            <v/>
          </cell>
          <cell r="V63" t="str">
            <v/>
          </cell>
          <cell r="W63" t="str">
            <v/>
          </cell>
          <cell r="X63" t="str">
            <v>Thiết kế thiếu</v>
          </cell>
          <cell r="Y63" t="e">
            <v>#N/A</v>
          </cell>
        </row>
        <row r="64">
          <cell r="A64" t="str">
            <v>0</v>
          </cell>
          <cell r="B64">
            <v>62</v>
          </cell>
          <cell r="C64"/>
          <cell r="D64"/>
          <cell r="E64"/>
          <cell r="F64"/>
          <cell r="G64">
            <v>0</v>
          </cell>
          <cell r="H64">
            <v>0</v>
          </cell>
          <cell r="I64">
            <v>0</v>
          </cell>
          <cell r="J64">
            <v>0</v>
          </cell>
          <cell r="K64"/>
          <cell r="L64" t="str">
            <v xml:space="preserve">  </v>
          </cell>
          <cell r="M64" t="str">
            <v xml:space="preserve">  </v>
          </cell>
          <cell r="N64">
            <v>0</v>
          </cell>
          <cell r="O64">
            <v>0</v>
          </cell>
          <cell r="P64" t="str">
            <v xml:space="preserve">  </v>
          </cell>
          <cell r="Q64">
            <v>0</v>
          </cell>
          <cell r="R64" t="str">
            <v/>
          </cell>
          <cell r="S64">
            <v>9</v>
          </cell>
          <cell r="T64" t="str">
            <v/>
          </cell>
          <cell r="U64" t="str">
            <v/>
          </cell>
          <cell r="V64" t="str">
            <v/>
          </cell>
          <cell r="W64" t="str">
            <v/>
          </cell>
          <cell r="X64" t="str">
            <v>Thiết kế thiếu</v>
          </cell>
          <cell r="Y64" t="e">
            <v>#N/A</v>
          </cell>
        </row>
        <row r="65">
          <cell r="A65" t="str">
            <v>0</v>
          </cell>
          <cell r="B65">
            <v>63</v>
          </cell>
          <cell r="C65"/>
          <cell r="D65"/>
          <cell r="E65"/>
          <cell r="F65"/>
          <cell r="G65">
            <v>0</v>
          </cell>
          <cell r="H65">
            <v>0</v>
          </cell>
          <cell r="I65">
            <v>0</v>
          </cell>
          <cell r="J65">
            <v>0</v>
          </cell>
          <cell r="K65"/>
          <cell r="L65" t="str">
            <v xml:space="preserve">  </v>
          </cell>
          <cell r="M65" t="str">
            <v xml:space="preserve">  </v>
          </cell>
          <cell r="N65">
            <v>0</v>
          </cell>
          <cell r="O65">
            <v>0</v>
          </cell>
          <cell r="P65" t="str">
            <v xml:space="preserve">  </v>
          </cell>
          <cell r="Q65">
            <v>0</v>
          </cell>
          <cell r="R65" t="str">
            <v/>
          </cell>
          <cell r="S65">
            <v>9</v>
          </cell>
          <cell r="T65" t="str">
            <v/>
          </cell>
          <cell r="U65" t="str">
            <v/>
          </cell>
          <cell r="V65" t="str">
            <v/>
          </cell>
          <cell r="W65" t="str">
            <v/>
          </cell>
          <cell r="X65" t="str">
            <v>Thiết kế thiếu</v>
          </cell>
          <cell r="Y65" t="e">
            <v>#N/A</v>
          </cell>
        </row>
        <row r="66">
          <cell r="A66" t="str">
            <v>0</v>
          </cell>
          <cell r="B66">
            <v>64</v>
          </cell>
          <cell r="C66"/>
          <cell r="D66"/>
          <cell r="E66"/>
          <cell r="F66"/>
          <cell r="G66">
            <v>0</v>
          </cell>
          <cell r="H66">
            <v>0</v>
          </cell>
          <cell r="I66">
            <v>0</v>
          </cell>
          <cell r="J66">
            <v>0</v>
          </cell>
          <cell r="K66"/>
          <cell r="L66" t="str">
            <v xml:space="preserve">  </v>
          </cell>
          <cell r="M66" t="str">
            <v xml:space="preserve">  </v>
          </cell>
          <cell r="N66">
            <v>0</v>
          </cell>
          <cell r="O66">
            <v>0</v>
          </cell>
          <cell r="P66" t="str">
            <v xml:space="preserve">  </v>
          </cell>
          <cell r="Q66">
            <v>0</v>
          </cell>
          <cell r="R66" t="str">
            <v/>
          </cell>
          <cell r="S66">
            <v>9</v>
          </cell>
          <cell r="T66" t="str">
            <v/>
          </cell>
          <cell r="U66" t="str">
            <v/>
          </cell>
          <cell r="V66" t="str">
            <v/>
          </cell>
          <cell r="W66" t="str">
            <v/>
          </cell>
          <cell r="X66" t="str">
            <v>Thiết kế thiếu</v>
          </cell>
          <cell r="Y66" t="e">
            <v>#N/A</v>
          </cell>
        </row>
        <row r="67">
          <cell r="A67" t="str">
            <v>0</v>
          </cell>
          <cell r="B67">
            <v>65</v>
          </cell>
          <cell r="C67"/>
          <cell r="D67"/>
          <cell r="E67"/>
          <cell r="F67"/>
          <cell r="G67">
            <v>0</v>
          </cell>
          <cell r="H67">
            <v>0</v>
          </cell>
          <cell r="I67">
            <v>0</v>
          </cell>
          <cell r="J67">
            <v>0</v>
          </cell>
          <cell r="K67"/>
          <cell r="L67" t="str">
            <v xml:space="preserve">  </v>
          </cell>
          <cell r="M67" t="str">
            <v xml:space="preserve">  </v>
          </cell>
          <cell r="N67">
            <v>0</v>
          </cell>
          <cell r="O67">
            <v>0</v>
          </cell>
          <cell r="P67" t="str">
            <v xml:space="preserve">  </v>
          </cell>
          <cell r="Q67">
            <v>0</v>
          </cell>
          <cell r="R67" t="str">
            <v/>
          </cell>
          <cell r="S67">
            <v>9</v>
          </cell>
          <cell r="T67" t="str">
            <v/>
          </cell>
          <cell r="U67" t="str">
            <v/>
          </cell>
          <cell r="V67" t="str">
            <v/>
          </cell>
          <cell r="W67" t="str">
            <v/>
          </cell>
          <cell r="X67" t="str">
            <v>Thiết kế thiếu</v>
          </cell>
          <cell r="Y67" t="e">
            <v>#N/A</v>
          </cell>
        </row>
        <row r="68">
          <cell r="A68" t="str">
            <v>0</v>
          </cell>
          <cell r="B68">
            <v>66</v>
          </cell>
          <cell r="C68"/>
          <cell r="D68"/>
          <cell r="E68"/>
          <cell r="F68"/>
          <cell r="G68">
            <v>0</v>
          </cell>
          <cell r="H68">
            <v>0</v>
          </cell>
          <cell r="I68">
            <v>0</v>
          </cell>
          <cell r="J68">
            <v>0</v>
          </cell>
          <cell r="K68"/>
          <cell r="L68" t="str">
            <v xml:space="preserve">  </v>
          </cell>
          <cell r="M68" t="str">
            <v xml:space="preserve">  </v>
          </cell>
          <cell r="N68">
            <v>0</v>
          </cell>
          <cell r="O68">
            <v>0</v>
          </cell>
          <cell r="P68" t="str">
            <v xml:space="preserve">  </v>
          </cell>
          <cell r="Q68">
            <v>0</v>
          </cell>
          <cell r="R68" t="str">
            <v/>
          </cell>
          <cell r="S68">
            <v>9</v>
          </cell>
          <cell r="T68" t="str">
            <v/>
          </cell>
          <cell r="U68" t="str">
            <v/>
          </cell>
          <cell r="V68" t="str">
            <v/>
          </cell>
          <cell r="W68" t="str">
            <v/>
          </cell>
          <cell r="X68" t="str">
            <v>Thiết kế thiếu</v>
          </cell>
          <cell r="Y68" t="e">
            <v>#N/A</v>
          </cell>
        </row>
        <row r="69">
          <cell r="A69" t="str">
            <v>0</v>
          </cell>
          <cell r="B69">
            <v>67</v>
          </cell>
          <cell r="C69"/>
          <cell r="D69"/>
          <cell r="E69"/>
          <cell r="F69"/>
          <cell r="G69">
            <v>0</v>
          </cell>
          <cell r="H69">
            <v>0</v>
          </cell>
          <cell r="I69">
            <v>0</v>
          </cell>
          <cell r="J69">
            <v>0</v>
          </cell>
          <cell r="K69"/>
          <cell r="L69" t="str">
            <v xml:space="preserve">  </v>
          </cell>
          <cell r="M69" t="str">
            <v xml:space="preserve">  </v>
          </cell>
          <cell r="N69">
            <v>0</v>
          </cell>
          <cell r="O69">
            <v>0</v>
          </cell>
          <cell r="P69" t="str">
            <v xml:space="preserve">  </v>
          </cell>
          <cell r="Q69">
            <v>0</v>
          </cell>
          <cell r="R69" t="str">
            <v/>
          </cell>
          <cell r="S69">
            <v>9</v>
          </cell>
          <cell r="T69" t="str">
            <v/>
          </cell>
          <cell r="U69" t="str">
            <v/>
          </cell>
          <cell r="V69" t="str">
            <v/>
          </cell>
          <cell r="W69" t="str">
            <v/>
          </cell>
          <cell r="X69" t="str">
            <v>Thiết kế thiếu</v>
          </cell>
          <cell r="Y69" t="e">
            <v>#N/A</v>
          </cell>
        </row>
        <row r="70">
          <cell r="A70" t="str">
            <v>0</v>
          </cell>
          <cell r="B70">
            <v>68</v>
          </cell>
          <cell r="C70"/>
          <cell r="D70"/>
          <cell r="E70"/>
          <cell r="F70"/>
          <cell r="G70">
            <v>0</v>
          </cell>
          <cell r="H70">
            <v>0</v>
          </cell>
          <cell r="I70">
            <v>0</v>
          </cell>
          <cell r="J70">
            <v>0</v>
          </cell>
          <cell r="K70"/>
          <cell r="L70" t="str">
            <v xml:space="preserve">  </v>
          </cell>
          <cell r="M70" t="str">
            <v xml:space="preserve">  </v>
          </cell>
          <cell r="N70">
            <v>0</v>
          </cell>
          <cell r="O70">
            <v>0</v>
          </cell>
          <cell r="P70" t="str">
            <v xml:space="preserve">  </v>
          </cell>
          <cell r="Q70">
            <v>0</v>
          </cell>
          <cell r="R70" t="str">
            <v/>
          </cell>
          <cell r="S70">
            <v>9</v>
          </cell>
          <cell r="T70" t="str">
            <v/>
          </cell>
          <cell r="U70" t="str">
            <v/>
          </cell>
          <cell r="V70" t="str">
            <v/>
          </cell>
          <cell r="W70" t="str">
            <v/>
          </cell>
          <cell r="X70" t="str">
            <v>Thiết kế thiếu</v>
          </cell>
          <cell r="Y70" t="e">
            <v>#N/A</v>
          </cell>
        </row>
        <row r="71">
          <cell r="A71" t="str">
            <v>0</v>
          </cell>
          <cell r="B71">
            <v>69</v>
          </cell>
          <cell r="C71"/>
          <cell r="D71"/>
          <cell r="E71"/>
          <cell r="F71"/>
          <cell r="G71">
            <v>0</v>
          </cell>
          <cell r="H71">
            <v>0</v>
          </cell>
          <cell r="I71">
            <v>0</v>
          </cell>
          <cell r="J71">
            <v>0</v>
          </cell>
          <cell r="K71"/>
          <cell r="L71" t="str">
            <v xml:space="preserve">  </v>
          </cell>
          <cell r="M71" t="str">
            <v xml:space="preserve">  </v>
          </cell>
          <cell r="N71">
            <v>0</v>
          </cell>
          <cell r="O71">
            <v>0</v>
          </cell>
          <cell r="P71" t="str">
            <v xml:space="preserve">  </v>
          </cell>
          <cell r="Q71">
            <v>0</v>
          </cell>
          <cell r="R71" t="str">
            <v/>
          </cell>
          <cell r="S71">
            <v>9</v>
          </cell>
          <cell r="T71" t="str">
            <v/>
          </cell>
          <cell r="U71" t="str">
            <v/>
          </cell>
          <cell r="V71" t="str">
            <v/>
          </cell>
          <cell r="W71" t="str">
            <v/>
          </cell>
          <cell r="X71" t="str">
            <v>Thiết kế thiếu</v>
          </cell>
          <cell r="Y71" t="e">
            <v>#N/A</v>
          </cell>
        </row>
        <row r="72">
          <cell r="A72" t="str">
            <v>0</v>
          </cell>
          <cell r="B72">
            <v>70</v>
          </cell>
          <cell r="C72"/>
          <cell r="D72"/>
          <cell r="E72"/>
          <cell r="F72"/>
          <cell r="G72">
            <v>0</v>
          </cell>
          <cell r="H72">
            <v>0</v>
          </cell>
          <cell r="I72">
            <v>0</v>
          </cell>
          <cell r="J72">
            <v>0</v>
          </cell>
          <cell r="K72"/>
          <cell r="L72" t="str">
            <v xml:space="preserve">  </v>
          </cell>
          <cell r="M72" t="str">
            <v xml:space="preserve">  </v>
          </cell>
          <cell r="N72">
            <v>0</v>
          </cell>
          <cell r="O72">
            <v>0</v>
          </cell>
          <cell r="P72" t="str">
            <v xml:space="preserve">  </v>
          </cell>
          <cell r="Q72">
            <v>0</v>
          </cell>
          <cell r="R72" t="str">
            <v/>
          </cell>
          <cell r="S72">
            <v>9</v>
          </cell>
          <cell r="T72" t="str">
            <v/>
          </cell>
          <cell r="U72" t="str">
            <v/>
          </cell>
          <cell r="V72" t="str">
            <v/>
          </cell>
          <cell r="W72" t="str">
            <v/>
          </cell>
          <cell r="X72" t="str">
            <v>Thiết kế thiếu</v>
          </cell>
          <cell r="Y72" t="e">
            <v>#N/A</v>
          </cell>
        </row>
        <row r="73">
          <cell r="A73" t="str">
            <v>0</v>
          </cell>
          <cell r="B73">
            <v>71</v>
          </cell>
          <cell r="C73"/>
          <cell r="D73"/>
          <cell r="E73"/>
          <cell r="F73"/>
          <cell r="G73">
            <v>0</v>
          </cell>
          <cell r="H73">
            <v>0</v>
          </cell>
          <cell r="I73">
            <v>0</v>
          </cell>
          <cell r="J73">
            <v>0</v>
          </cell>
          <cell r="K73"/>
          <cell r="L73" t="str">
            <v xml:space="preserve">  </v>
          </cell>
          <cell r="M73" t="str">
            <v xml:space="preserve">  </v>
          </cell>
          <cell r="N73">
            <v>0</v>
          </cell>
          <cell r="O73">
            <v>0</v>
          </cell>
          <cell r="P73" t="str">
            <v xml:space="preserve">  </v>
          </cell>
          <cell r="Q73">
            <v>0</v>
          </cell>
          <cell r="R73" t="str">
            <v/>
          </cell>
          <cell r="S73">
            <v>9</v>
          </cell>
          <cell r="T73" t="str">
            <v/>
          </cell>
          <cell r="U73" t="str">
            <v/>
          </cell>
          <cell r="V73" t="str">
            <v/>
          </cell>
          <cell r="W73" t="str">
            <v/>
          </cell>
          <cell r="X73" t="str">
            <v>Thiết kế thiếu</v>
          </cell>
          <cell r="Y73" t="e">
            <v>#N/A</v>
          </cell>
        </row>
        <row r="74">
          <cell r="A74" t="str">
            <v>0</v>
          </cell>
          <cell r="B74">
            <v>72</v>
          </cell>
          <cell r="C74"/>
          <cell r="D74"/>
          <cell r="E74"/>
          <cell r="F74"/>
          <cell r="G74">
            <v>0</v>
          </cell>
          <cell r="H74">
            <v>0</v>
          </cell>
          <cell r="I74">
            <v>0</v>
          </cell>
          <cell r="J74">
            <v>0</v>
          </cell>
          <cell r="K74"/>
          <cell r="L74" t="str">
            <v xml:space="preserve">  </v>
          </cell>
          <cell r="M74" t="str">
            <v xml:space="preserve">  </v>
          </cell>
          <cell r="N74">
            <v>0</v>
          </cell>
          <cell r="O74">
            <v>0</v>
          </cell>
          <cell r="P74" t="str">
            <v xml:space="preserve">  </v>
          </cell>
          <cell r="Q74">
            <v>0</v>
          </cell>
          <cell r="R74" t="str">
            <v/>
          </cell>
          <cell r="S74">
            <v>9</v>
          </cell>
          <cell r="T74" t="str">
            <v/>
          </cell>
          <cell r="U74" t="str">
            <v/>
          </cell>
          <cell r="V74" t="str">
            <v/>
          </cell>
          <cell r="W74" t="str">
            <v/>
          </cell>
          <cell r="X74" t="str">
            <v>Thiết kế thiếu</v>
          </cell>
          <cell r="Y74" t="e">
            <v>#N/A</v>
          </cell>
        </row>
        <row r="75">
          <cell r="A75" t="str">
            <v>0</v>
          </cell>
          <cell r="B75">
            <v>73</v>
          </cell>
          <cell r="C75"/>
          <cell r="D75"/>
          <cell r="E75"/>
          <cell r="F75"/>
          <cell r="G75">
            <v>0</v>
          </cell>
          <cell r="H75">
            <v>0</v>
          </cell>
          <cell r="I75">
            <v>0</v>
          </cell>
          <cell r="J75">
            <v>0</v>
          </cell>
          <cell r="K75"/>
          <cell r="L75" t="str">
            <v xml:space="preserve">  </v>
          </cell>
          <cell r="M75" t="str">
            <v xml:space="preserve">  </v>
          </cell>
          <cell r="N75">
            <v>0</v>
          </cell>
          <cell r="O75">
            <v>0</v>
          </cell>
          <cell r="P75" t="str">
            <v xml:space="preserve">  </v>
          </cell>
          <cell r="Q75">
            <v>0</v>
          </cell>
          <cell r="R75" t="str">
            <v/>
          </cell>
          <cell r="S75">
            <v>9</v>
          </cell>
          <cell r="T75" t="str">
            <v/>
          </cell>
          <cell r="U75" t="str">
            <v/>
          </cell>
          <cell r="V75" t="str">
            <v/>
          </cell>
          <cell r="W75" t="str">
            <v/>
          </cell>
          <cell r="X75" t="str">
            <v>Thiết kế thiếu</v>
          </cell>
          <cell r="Y75" t="e">
            <v>#N/A</v>
          </cell>
        </row>
        <row r="76">
          <cell r="A76" t="str">
            <v>0</v>
          </cell>
          <cell r="B76">
            <v>74</v>
          </cell>
          <cell r="C76"/>
          <cell r="D76"/>
          <cell r="E76"/>
          <cell r="F76"/>
          <cell r="G76">
            <v>0</v>
          </cell>
          <cell r="H76">
            <v>0</v>
          </cell>
          <cell r="I76">
            <v>0</v>
          </cell>
          <cell r="J76">
            <v>0</v>
          </cell>
          <cell r="K76"/>
          <cell r="L76" t="str">
            <v xml:space="preserve">  </v>
          </cell>
          <cell r="M76" t="str">
            <v xml:space="preserve">  </v>
          </cell>
          <cell r="N76">
            <v>0</v>
          </cell>
          <cell r="O76">
            <v>0</v>
          </cell>
          <cell r="P76" t="str">
            <v xml:space="preserve">  </v>
          </cell>
          <cell r="Q76">
            <v>0</v>
          </cell>
          <cell r="R76" t="str">
            <v/>
          </cell>
          <cell r="S76">
            <v>9</v>
          </cell>
          <cell r="T76" t="str">
            <v/>
          </cell>
          <cell r="U76" t="str">
            <v/>
          </cell>
          <cell r="V76" t="str">
            <v/>
          </cell>
          <cell r="W76" t="str">
            <v/>
          </cell>
          <cell r="X76" t="str">
            <v>Thiết kế thiếu</v>
          </cell>
          <cell r="Y76" t="e">
            <v>#N/A</v>
          </cell>
        </row>
        <row r="77">
          <cell r="A77" t="str">
            <v>0</v>
          </cell>
          <cell r="B77">
            <v>75</v>
          </cell>
          <cell r="C77"/>
          <cell r="D77"/>
          <cell r="E77"/>
          <cell r="F77"/>
          <cell r="G77">
            <v>0</v>
          </cell>
          <cell r="H77">
            <v>0</v>
          </cell>
          <cell r="I77">
            <v>0</v>
          </cell>
          <cell r="J77">
            <v>0</v>
          </cell>
          <cell r="K77"/>
          <cell r="L77" t="str">
            <v xml:space="preserve">  </v>
          </cell>
          <cell r="M77" t="str">
            <v xml:space="preserve">  </v>
          </cell>
          <cell r="N77">
            <v>0</v>
          </cell>
          <cell r="O77">
            <v>0</v>
          </cell>
          <cell r="P77" t="str">
            <v xml:space="preserve">  </v>
          </cell>
          <cell r="Q77">
            <v>0</v>
          </cell>
          <cell r="R77" t="str">
            <v/>
          </cell>
          <cell r="S77">
            <v>9</v>
          </cell>
          <cell r="T77" t="str">
            <v/>
          </cell>
          <cell r="U77" t="str">
            <v/>
          </cell>
          <cell r="V77" t="str">
            <v/>
          </cell>
          <cell r="W77" t="str">
            <v/>
          </cell>
          <cell r="X77" t="str">
            <v>Thiết kế thiếu</v>
          </cell>
          <cell r="Y77" t="e">
            <v>#N/A</v>
          </cell>
        </row>
        <row r="78">
          <cell r="A78" t="str">
            <v>0</v>
          </cell>
          <cell r="B78">
            <v>76</v>
          </cell>
          <cell r="C78"/>
          <cell r="D78"/>
          <cell r="E78"/>
          <cell r="F78"/>
          <cell r="G78">
            <v>0</v>
          </cell>
          <cell r="H78">
            <v>0</v>
          </cell>
          <cell r="I78">
            <v>0</v>
          </cell>
          <cell r="J78">
            <v>0</v>
          </cell>
          <cell r="K78"/>
          <cell r="L78" t="str">
            <v xml:space="preserve">  </v>
          </cell>
          <cell r="M78" t="str">
            <v xml:space="preserve">  </v>
          </cell>
          <cell r="N78">
            <v>0</v>
          </cell>
          <cell r="O78">
            <v>0</v>
          </cell>
          <cell r="P78" t="str">
            <v xml:space="preserve">  </v>
          </cell>
          <cell r="Q78">
            <v>0</v>
          </cell>
          <cell r="R78" t="str">
            <v/>
          </cell>
          <cell r="S78">
            <v>9</v>
          </cell>
          <cell r="T78" t="str">
            <v/>
          </cell>
          <cell r="U78" t="str">
            <v/>
          </cell>
          <cell r="V78" t="str">
            <v/>
          </cell>
          <cell r="W78" t="str">
            <v/>
          </cell>
          <cell r="X78" t="str">
            <v>Thiết kế thiếu</v>
          </cell>
          <cell r="Y78" t="e">
            <v>#N/A</v>
          </cell>
        </row>
        <row r="79">
          <cell r="A79" t="str">
            <v>0</v>
          </cell>
          <cell r="B79">
            <v>77</v>
          </cell>
          <cell r="C79"/>
          <cell r="D79"/>
          <cell r="E79"/>
          <cell r="F79"/>
          <cell r="G79">
            <v>0</v>
          </cell>
          <cell r="H79">
            <v>0</v>
          </cell>
          <cell r="I79">
            <v>0</v>
          </cell>
          <cell r="J79">
            <v>0</v>
          </cell>
          <cell r="K79"/>
          <cell r="L79" t="str">
            <v xml:space="preserve">  </v>
          </cell>
          <cell r="M79" t="str">
            <v xml:space="preserve">  </v>
          </cell>
          <cell r="N79">
            <v>0</v>
          </cell>
          <cell r="O79">
            <v>0</v>
          </cell>
          <cell r="P79" t="str">
            <v xml:space="preserve">  </v>
          </cell>
          <cell r="Q79">
            <v>0</v>
          </cell>
          <cell r="R79" t="str">
            <v/>
          </cell>
          <cell r="S79">
            <v>9</v>
          </cell>
          <cell r="T79" t="str">
            <v/>
          </cell>
          <cell r="U79" t="str">
            <v/>
          </cell>
          <cell r="V79" t="str">
            <v/>
          </cell>
          <cell r="W79" t="str">
            <v/>
          </cell>
          <cell r="X79" t="str">
            <v>Thiết kế thiếu</v>
          </cell>
          <cell r="Y79" t="e">
            <v>#N/A</v>
          </cell>
        </row>
        <row r="80">
          <cell r="A80" t="str">
            <v>0</v>
          </cell>
          <cell r="B80">
            <v>78</v>
          </cell>
          <cell r="C80"/>
          <cell r="D80"/>
          <cell r="E80"/>
          <cell r="F80"/>
          <cell r="G80">
            <v>0</v>
          </cell>
          <cell r="H80">
            <v>0</v>
          </cell>
          <cell r="I80">
            <v>0</v>
          </cell>
          <cell r="J80">
            <v>0</v>
          </cell>
          <cell r="K80"/>
          <cell r="L80" t="str">
            <v xml:space="preserve">  </v>
          </cell>
          <cell r="M80" t="str">
            <v xml:space="preserve">  </v>
          </cell>
          <cell r="N80">
            <v>0</v>
          </cell>
          <cell r="O80">
            <v>0</v>
          </cell>
          <cell r="P80" t="str">
            <v xml:space="preserve">  </v>
          </cell>
          <cell r="Q80">
            <v>0</v>
          </cell>
          <cell r="R80" t="str">
            <v/>
          </cell>
          <cell r="S80">
            <v>9</v>
          </cell>
          <cell r="T80" t="str">
            <v/>
          </cell>
          <cell r="U80" t="str">
            <v/>
          </cell>
          <cell r="V80" t="str">
            <v/>
          </cell>
          <cell r="W80" t="str">
            <v/>
          </cell>
          <cell r="X80" t="str">
            <v>Thiết kế thiếu</v>
          </cell>
          <cell r="Y80" t="e">
            <v>#N/A</v>
          </cell>
        </row>
        <row r="81">
          <cell r="A81" t="str">
            <v>0</v>
          </cell>
          <cell r="B81">
            <v>79</v>
          </cell>
          <cell r="C81"/>
          <cell r="D81"/>
          <cell r="E81"/>
          <cell r="F81"/>
          <cell r="G81">
            <v>0</v>
          </cell>
          <cell r="H81">
            <v>0</v>
          </cell>
          <cell r="I81">
            <v>0</v>
          </cell>
          <cell r="J81">
            <v>0</v>
          </cell>
          <cell r="K81"/>
          <cell r="L81" t="str">
            <v xml:space="preserve">  </v>
          </cell>
          <cell r="M81" t="str">
            <v xml:space="preserve">  </v>
          </cell>
          <cell r="N81">
            <v>0</v>
          </cell>
          <cell r="O81">
            <v>0</v>
          </cell>
          <cell r="P81" t="str">
            <v xml:space="preserve">  </v>
          </cell>
          <cell r="Q81">
            <v>0</v>
          </cell>
          <cell r="R81" t="str">
            <v/>
          </cell>
          <cell r="S81">
            <v>9</v>
          </cell>
          <cell r="T81" t="str">
            <v/>
          </cell>
          <cell r="U81" t="str">
            <v/>
          </cell>
          <cell r="V81" t="str">
            <v/>
          </cell>
          <cell r="W81" t="str">
            <v/>
          </cell>
          <cell r="X81" t="str">
            <v>Thiết kế thiếu</v>
          </cell>
          <cell r="Y81" t="e">
            <v>#N/A</v>
          </cell>
        </row>
        <row r="82">
          <cell r="A82" t="str">
            <v>0</v>
          </cell>
          <cell r="B82">
            <v>80</v>
          </cell>
          <cell r="C82"/>
          <cell r="D82"/>
          <cell r="E82"/>
          <cell r="F82"/>
          <cell r="G82">
            <v>0</v>
          </cell>
          <cell r="H82">
            <v>0</v>
          </cell>
          <cell r="I82">
            <v>0</v>
          </cell>
          <cell r="J82">
            <v>0</v>
          </cell>
          <cell r="K82"/>
          <cell r="L82" t="str">
            <v xml:space="preserve">  </v>
          </cell>
          <cell r="M82" t="str">
            <v xml:space="preserve">  </v>
          </cell>
          <cell r="N82">
            <v>0</v>
          </cell>
          <cell r="O82">
            <v>0</v>
          </cell>
          <cell r="P82" t="str">
            <v xml:space="preserve">  </v>
          </cell>
          <cell r="Q82">
            <v>0</v>
          </cell>
          <cell r="R82" t="str">
            <v/>
          </cell>
          <cell r="S82">
            <v>9</v>
          </cell>
          <cell r="T82" t="str">
            <v/>
          </cell>
          <cell r="U82" t="str">
            <v/>
          </cell>
          <cell r="V82" t="str">
            <v/>
          </cell>
          <cell r="W82" t="str">
            <v/>
          </cell>
          <cell r="X82" t="str">
            <v>Thiết kế thiếu</v>
          </cell>
          <cell r="Y82" t="e">
            <v>#N/A</v>
          </cell>
        </row>
        <row r="83">
          <cell r="A83" t="str">
            <v>0</v>
          </cell>
          <cell r="B83">
            <v>81</v>
          </cell>
          <cell r="C83"/>
          <cell r="D83"/>
          <cell r="E83"/>
          <cell r="F83"/>
          <cell r="G83">
            <v>0</v>
          </cell>
          <cell r="H83">
            <v>0</v>
          </cell>
          <cell r="I83">
            <v>0</v>
          </cell>
          <cell r="J83">
            <v>0</v>
          </cell>
          <cell r="K83"/>
          <cell r="L83" t="str">
            <v xml:space="preserve">  </v>
          </cell>
          <cell r="M83" t="str">
            <v xml:space="preserve">  </v>
          </cell>
          <cell r="N83">
            <v>0</v>
          </cell>
          <cell r="O83">
            <v>0</v>
          </cell>
          <cell r="P83" t="str">
            <v xml:space="preserve">  </v>
          </cell>
          <cell r="Q83">
            <v>0</v>
          </cell>
          <cell r="R83" t="str">
            <v/>
          </cell>
          <cell r="S83">
            <v>9</v>
          </cell>
          <cell r="T83" t="str">
            <v/>
          </cell>
          <cell r="U83" t="str">
            <v/>
          </cell>
          <cell r="V83" t="str">
            <v/>
          </cell>
          <cell r="W83" t="str">
            <v/>
          </cell>
          <cell r="X83" t="str">
            <v>Thiết kế thiếu</v>
          </cell>
          <cell r="Y83" t="e">
            <v>#N/A</v>
          </cell>
        </row>
        <row r="84">
          <cell r="A84" t="str">
            <v>0</v>
          </cell>
          <cell r="B84">
            <v>82</v>
          </cell>
          <cell r="C84"/>
          <cell r="D84"/>
          <cell r="E84"/>
          <cell r="F84"/>
          <cell r="G84">
            <v>0</v>
          </cell>
          <cell r="H84">
            <v>0</v>
          </cell>
          <cell r="I84">
            <v>0</v>
          </cell>
          <cell r="J84">
            <v>0</v>
          </cell>
          <cell r="K84"/>
          <cell r="L84" t="str">
            <v xml:space="preserve">  </v>
          </cell>
          <cell r="M84" t="str">
            <v xml:space="preserve">  </v>
          </cell>
          <cell r="N84">
            <v>0</v>
          </cell>
          <cell r="O84">
            <v>0</v>
          </cell>
          <cell r="P84" t="str">
            <v xml:space="preserve">  </v>
          </cell>
          <cell r="Q84">
            <v>0</v>
          </cell>
          <cell r="R84" t="str">
            <v/>
          </cell>
          <cell r="S84">
            <v>9</v>
          </cell>
          <cell r="T84" t="str">
            <v/>
          </cell>
          <cell r="U84" t="str">
            <v/>
          </cell>
          <cell r="V84" t="str">
            <v/>
          </cell>
          <cell r="W84" t="str">
            <v/>
          </cell>
          <cell r="X84" t="str">
            <v>Thiết kế thiếu</v>
          </cell>
          <cell r="Y84" t="e">
            <v>#N/A</v>
          </cell>
        </row>
        <row r="85">
          <cell r="A85" t="str">
            <v>0</v>
          </cell>
          <cell r="B85">
            <v>83</v>
          </cell>
          <cell r="C85"/>
          <cell r="D85"/>
          <cell r="E85"/>
          <cell r="F85"/>
          <cell r="G85">
            <v>0</v>
          </cell>
          <cell r="H85">
            <v>0</v>
          </cell>
          <cell r="I85">
            <v>0</v>
          </cell>
          <cell r="J85">
            <v>0</v>
          </cell>
          <cell r="K85"/>
          <cell r="L85" t="str">
            <v xml:space="preserve">  </v>
          </cell>
          <cell r="M85" t="str">
            <v xml:space="preserve">  </v>
          </cell>
          <cell r="N85">
            <v>0</v>
          </cell>
          <cell r="O85">
            <v>0</v>
          </cell>
          <cell r="P85" t="str">
            <v xml:space="preserve">  </v>
          </cell>
          <cell r="Q85">
            <v>0</v>
          </cell>
          <cell r="R85" t="str">
            <v/>
          </cell>
          <cell r="S85">
            <v>9</v>
          </cell>
          <cell r="T85" t="str">
            <v/>
          </cell>
          <cell r="U85" t="str">
            <v/>
          </cell>
          <cell r="V85" t="str">
            <v/>
          </cell>
          <cell r="W85" t="str">
            <v/>
          </cell>
          <cell r="X85" t="str">
            <v>Thiết kế thiếu</v>
          </cell>
          <cell r="Y85" t="e">
            <v>#N/A</v>
          </cell>
        </row>
        <row r="86">
          <cell r="A86" t="str">
            <v>0</v>
          </cell>
          <cell r="B86">
            <v>84</v>
          </cell>
          <cell r="C86"/>
          <cell r="D86"/>
          <cell r="E86"/>
          <cell r="F86"/>
          <cell r="G86">
            <v>0</v>
          </cell>
          <cell r="H86">
            <v>0</v>
          </cell>
          <cell r="I86">
            <v>0</v>
          </cell>
          <cell r="J86">
            <v>0</v>
          </cell>
          <cell r="K86"/>
          <cell r="L86" t="str">
            <v xml:space="preserve">  </v>
          </cell>
          <cell r="M86" t="str">
            <v xml:space="preserve">  </v>
          </cell>
          <cell r="N86">
            <v>0</v>
          </cell>
          <cell r="O86">
            <v>0</v>
          </cell>
          <cell r="P86" t="str">
            <v xml:space="preserve">  </v>
          </cell>
          <cell r="Q86">
            <v>0</v>
          </cell>
          <cell r="R86" t="str">
            <v/>
          </cell>
          <cell r="S86">
            <v>9</v>
          </cell>
          <cell r="T86" t="str">
            <v/>
          </cell>
          <cell r="U86" t="str">
            <v/>
          </cell>
          <cell r="V86" t="str">
            <v/>
          </cell>
          <cell r="W86" t="str">
            <v/>
          </cell>
          <cell r="X86" t="str">
            <v>Thiết kế thiếu</v>
          </cell>
          <cell r="Y86" t="e">
            <v>#N/A</v>
          </cell>
        </row>
        <row r="87">
          <cell r="A87" t="str">
            <v>0</v>
          </cell>
          <cell r="B87">
            <v>85</v>
          </cell>
          <cell r="C87"/>
          <cell r="D87"/>
          <cell r="E87"/>
          <cell r="F87"/>
          <cell r="G87">
            <v>0</v>
          </cell>
          <cell r="H87">
            <v>0</v>
          </cell>
          <cell r="I87">
            <v>0</v>
          </cell>
          <cell r="J87">
            <v>0</v>
          </cell>
          <cell r="K87"/>
          <cell r="L87" t="str">
            <v xml:space="preserve">  </v>
          </cell>
          <cell r="M87" t="str">
            <v xml:space="preserve">  </v>
          </cell>
          <cell r="N87">
            <v>0</v>
          </cell>
          <cell r="O87">
            <v>0</v>
          </cell>
          <cell r="P87" t="str">
            <v xml:space="preserve">  </v>
          </cell>
          <cell r="Q87">
            <v>0</v>
          </cell>
          <cell r="R87" t="str">
            <v/>
          </cell>
          <cell r="S87">
            <v>9</v>
          </cell>
          <cell r="T87" t="str">
            <v/>
          </cell>
          <cell r="U87" t="str">
            <v/>
          </cell>
          <cell r="V87" t="str">
            <v/>
          </cell>
          <cell r="W87" t="str">
            <v/>
          </cell>
          <cell r="X87" t="str">
            <v>Thiết kế thiếu</v>
          </cell>
          <cell r="Y87" t="e">
            <v>#N/A</v>
          </cell>
        </row>
        <row r="88">
          <cell r="A88" t="str">
            <v>0</v>
          </cell>
          <cell r="B88">
            <v>86</v>
          </cell>
          <cell r="C88"/>
          <cell r="D88"/>
          <cell r="E88"/>
          <cell r="F88"/>
          <cell r="G88">
            <v>0</v>
          </cell>
          <cell r="H88">
            <v>0</v>
          </cell>
          <cell r="I88">
            <v>0</v>
          </cell>
          <cell r="J88">
            <v>0</v>
          </cell>
          <cell r="K88"/>
          <cell r="L88" t="str">
            <v xml:space="preserve">  </v>
          </cell>
          <cell r="M88" t="str">
            <v xml:space="preserve">  </v>
          </cell>
          <cell r="N88">
            <v>0</v>
          </cell>
          <cell r="O88">
            <v>0</v>
          </cell>
          <cell r="P88" t="str">
            <v xml:space="preserve">  </v>
          </cell>
          <cell r="Q88">
            <v>0</v>
          </cell>
          <cell r="R88" t="str">
            <v/>
          </cell>
          <cell r="S88">
            <v>9</v>
          </cell>
          <cell r="T88" t="str">
            <v/>
          </cell>
          <cell r="U88" t="str">
            <v/>
          </cell>
          <cell r="V88" t="str">
            <v/>
          </cell>
          <cell r="W88" t="str">
            <v/>
          </cell>
          <cell r="X88" t="str">
            <v>Thiết kế thiếu</v>
          </cell>
          <cell r="Y88" t="e">
            <v>#N/A</v>
          </cell>
        </row>
        <row r="89">
          <cell r="A89" t="str">
            <v>0</v>
          </cell>
          <cell r="B89">
            <v>87</v>
          </cell>
          <cell r="C89"/>
          <cell r="D89"/>
          <cell r="E89"/>
          <cell r="F89"/>
          <cell r="G89">
            <v>0</v>
          </cell>
          <cell r="H89">
            <v>0</v>
          </cell>
          <cell r="I89">
            <v>0</v>
          </cell>
          <cell r="J89">
            <v>0</v>
          </cell>
          <cell r="K89"/>
          <cell r="L89" t="str">
            <v xml:space="preserve">  </v>
          </cell>
          <cell r="M89" t="str">
            <v xml:space="preserve">  </v>
          </cell>
          <cell r="N89">
            <v>0</v>
          </cell>
          <cell r="O89">
            <v>0</v>
          </cell>
          <cell r="P89" t="str">
            <v xml:space="preserve">  </v>
          </cell>
          <cell r="Q89">
            <v>0</v>
          </cell>
          <cell r="R89" t="str">
            <v/>
          </cell>
          <cell r="S89">
            <v>9</v>
          </cell>
          <cell r="T89" t="str">
            <v/>
          </cell>
          <cell r="U89" t="str">
            <v/>
          </cell>
          <cell r="V89" t="str">
            <v/>
          </cell>
          <cell r="W89" t="str">
            <v/>
          </cell>
          <cell r="X89" t="str">
            <v>Thiết kế thiếu</v>
          </cell>
          <cell r="Y89" t="e">
            <v>#N/A</v>
          </cell>
        </row>
        <row r="90">
          <cell r="A90" t="str">
            <v>0</v>
          </cell>
          <cell r="B90">
            <v>88</v>
          </cell>
          <cell r="C90"/>
          <cell r="D90"/>
          <cell r="E90"/>
          <cell r="F90"/>
          <cell r="G90">
            <v>0</v>
          </cell>
          <cell r="H90">
            <v>0</v>
          </cell>
          <cell r="I90">
            <v>0</v>
          </cell>
          <cell r="J90">
            <v>0</v>
          </cell>
          <cell r="K90"/>
          <cell r="L90" t="str">
            <v xml:space="preserve">  </v>
          </cell>
          <cell r="M90" t="str">
            <v xml:space="preserve">  </v>
          </cell>
          <cell r="N90">
            <v>0</v>
          </cell>
          <cell r="O90">
            <v>0</v>
          </cell>
          <cell r="P90" t="str">
            <v xml:space="preserve">  </v>
          </cell>
          <cell r="Q90">
            <v>0</v>
          </cell>
          <cell r="R90" t="str">
            <v/>
          </cell>
          <cell r="S90">
            <v>9</v>
          </cell>
          <cell r="T90" t="str">
            <v/>
          </cell>
          <cell r="U90" t="str">
            <v/>
          </cell>
          <cell r="V90" t="str">
            <v/>
          </cell>
          <cell r="W90" t="str">
            <v/>
          </cell>
          <cell r="X90" t="str">
            <v>Thiết kế thiếu</v>
          </cell>
          <cell r="Y90" t="e">
            <v>#N/A</v>
          </cell>
        </row>
        <row r="91">
          <cell r="A91" t="str">
            <v>0</v>
          </cell>
          <cell r="B91">
            <v>89</v>
          </cell>
          <cell r="C91"/>
          <cell r="D91"/>
          <cell r="E91"/>
          <cell r="F91"/>
          <cell r="G91">
            <v>0</v>
          </cell>
          <cell r="H91">
            <v>0</v>
          </cell>
          <cell r="I91">
            <v>0</v>
          </cell>
          <cell r="J91">
            <v>0</v>
          </cell>
          <cell r="K91"/>
          <cell r="L91" t="str">
            <v xml:space="preserve">  </v>
          </cell>
          <cell r="M91" t="str">
            <v xml:space="preserve">  </v>
          </cell>
          <cell r="N91">
            <v>0</v>
          </cell>
          <cell r="O91">
            <v>0</v>
          </cell>
          <cell r="P91" t="str">
            <v xml:space="preserve">  </v>
          </cell>
          <cell r="Q91">
            <v>0</v>
          </cell>
          <cell r="R91" t="str">
            <v/>
          </cell>
          <cell r="S91">
            <v>9</v>
          </cell>
          <cell r="T91" t="str">
            <v/>
          </cell>
          <cell r="U91" t="str">
            <v/>
          </cell>
          <cell r="V91" t="str">
            <v/>
          </cell>
          <cell r="W91" t="str">
            <v/>
          </cell>
          <cell r="X91" t="str">
            <v>Thiết kế thiếu</v>
          </cell>
          <cell r="Y91" t="e">
            <v>#N/A</v>
          </cell>
        </row>
        <row r="92">
          <cell r="A92" t="str">
            <v>0</v>
          </cell>
          <cell r="B92">
            <v>90</v>
          </cell>
          <cell r="C92"/>
          <cell r="D92"/>
          <cell r="E92"/>
          <cell r="F92"/>
          <cell r="G92">
            <v>0</v>
          </cell>
          <cell r="H92">
            <v>0</v>
          </cell>
          <cell r="I92">
            <v>0</v>
          </cell>
          <cell r="J92">
            <v>0</v>
          </cell>
          <cell r="K92"/>
          <cell r="L92" t="str">
            <v xml:space="preserve">  </v>
          </cell>
          <cell r="M92" t="str">
            <v xml:space="preserve">  </v>
          </cell>
          <cell r="N92">
            <v>0</v>
          </cell>
          <cell r="O92">
            <v>0</v>
          </cell>
          <cell r="P92" t="str">
            <v xml:space="preserve">  </v>
          </cell>
          <cell r="Q92">
            <v>0</v>
          </cell>
          <cell r="R92" t="str">
            <v/>
          </cell>
          <cell r="S92">
            <v>9</v>
          </cell>
          <cell r="T92" t="str">
            <v/>
          </cell>
          <cell r="U92" t="str">
            <v/>
          </cell>
          <cell r="V92" t="str">
            <v/>
          </cell>
          <cell r="W92" t="str">
            <v/>
          </cell>
          <cell r="X92" t="str">
            <v>Thiết kế thiếu</v>
          </cell>
          <cell r="Y92" t="e">
            <v>#N/A</v>
          </cell>
        </row>
        <row r="93">
          <cell r="A93" t="str">
            <v>0</v>
          </cell>
          <cell r="B93">
            <v>91</v>
          </cell>
          <cell r="C93"/>
          <cell r="D93"/>
          <cell r="E93"/>
          <cell r="F93"/>
          <cell r="G93">
            <v>0</v>
          </cell>
          <cell r="H93">
            <v>0</v>
          </cell>
          <cell r="I93">
            <v>0</v>
          </cell>
          <cell r="J93">
            <v>0</v>
          </cell>
          <cell r="K93"/>
          <cell r="L93" t="str">
            <v xml:space="preserve">  </v>
          </cell>
          <cell r="M93" t="str">
            <v xml:space="preserve">  </v>
          </cell>
          <cell r="N93">
            <v>0</v>
          </cell>
          <cell r="O93">
            <v>0</v>
          </cell>
          <cell r="P93" t="str">
            <v xml:space="preserve">  </v>
          </cell>
          <cell r="Q93">
            <v>0</v>
          </cell>
          <cell r="R93" t="str">
            <v/>
          </cell>
          <cell r="S93">
            <v>9</v>
          </cell>
          <cell r="T93" t="str">
            <v/>
          </cell>
          <cell r="U93" t="str">
            <v/>
          </cell>
          <cell r="V93" t="str">
            <v/>
          </cell>
          <cell r="W93" t="str">
            <v/>
          </cell>
          <cell r="X93" t="str">
            <v>Thiết kế thiếu</v>
          </cell>
          <cell r="Y93" t="e">
            <v>#N/A</v>
          </cell>
        </row>
        <row r="94">
          <cell r="A94" t="str">
            <v>0</v>
          </cell>
          <cell r="B94">
            <v>92</v>
          </cell>
          <cell r="C94"/>
          <cell r="D94"/>
          <cell r="E94"/>
          <cell r="F94"/>
          <cell r="G94">
            <v>0</v>
          </cell>
          <cell r="H94">
            <v>0</v>
          </cell>
          <cell r="I94">
            <v>0</v>
          </cell>
          <cell r="J94">
            <v>0</v>
          </cell>
          <cell r="K94"/>
          <cell r="L94" t="str">
            <v xml:space="preserve">  </v>
          </cell>
          <cell r="M94" t="str">
            <v xml:space="preserve">  </v>
          </cell>
          <cell r="N94">
            <v>0</v>
          </cell>
          <cell r="O94">
            <v>0</v>
          </cell>
          <cell r="P94" t="str">
            <v xml:space="preserve">  </v>
          </cell>
          <cell r="Q94">
            <v>0</v>
          </cell>
          <cell r="R94" t="str">
            <v/>
          </cell>
          <cell r="S94">
            <v>9</v>
          </cell>
          <cell r="T94" t="str">
            <v/>
          </cell>
          <cell r="U94" t="str">
            <v/>
          </cell>
          <cell r="V94" t="str">
            <v/>
          </cell>
          <cell r="W94" t="str">
            <v/>
          </cell>
          <cell r="X94" t="str">
            <v>Thiết kế thiếu</v>
          </cell>
          <cell r="Y94" t="e">
            <v>#N/A</v>
          </cell>
        </row>
        <row r="95">
          <cell r="A95" t="str">
            <v>0</v>
          </cell>
          <cell r="B95">
            <v>93</v>
          </cell>
          <cell r="C95"/>
          <cell r="D95"/>
          <cell r="E95"/>
          <cell r="F95"/>
          <cell r="G95">
            <v>0</v>
          </cell>
          <cell r="H95">
            <v>0</v>
          </cell>
          <cell r="I95">
            <v>0</v>
          </cell>
          <cell r="J95">
            <v>0</v>
          </cell>
          <cell r="K95"/>
          <cell r="L95" t="str">
            <v xml:space="preserve">  </v>
          </cell>
          <cell r="M95" t="str">
            <v xml:space="preserve">  </v>
          </cell>
          <cell r="N95">
            <v>0</v>
          </cell>
          <cell r="O95">
            <v>0</v>
          </cell>
          <cell r="P95" t="str">
            <v xml:space="preserve">  </v>
          </cell>
          <cell r="Q95">
            <v>0</v>
          </cell>
          <cell r="R95" t="str">
            <v/>
          </cell>
          <cell r="S95">
            <v>9</v>
          </cell>
          <cell r="T95" t="str">
            <v/>
          </cell>
          <cell r="U95" t="str">
            <v/>
          </cell>
          <cell r="V95" t="str">
            <v/>
          </cell>
          <cell r="W95" t="str">
            <v/>
          </cell>
          <cell r="X95" t="str">
            <v>Thiết kế thiếu</v>
          </cell>
          <cell r="Y95" t="e">
            <v>#N/A</v>
          </cell>
        </row>
        <row r="96">
          <cell r="A96" t="str">
            <v>0</v>
          </cell>
          <cell r="B96">
            <v>94</v>
          </cell>
          <cell r="C96"/>
          <cell r="D96"/>
          <cell r="E96"/>
          <cell r="F96"/>
          <cell r="G96">
            <v>0</v>
          </cell>
          <cell r="H96">
            <v>0</v>
          </cell>
          <cell r="I96">
            <v>0</v>
          </cell>
          <cell r="J96">
            <v>0</v>
          </cell>
          <cell r="K96"/>
          <cell r="L96" t="str">
            <v xml:space="preserve">  </v>
          </cell>
          <cell r="M96" t="str">
            <v xml:space="preserve">  </v>
          </cell>
          <cell r="N96">
            <v>0</v>
          </cell>
          <cell r="O96">
            <v>0</v>
          </cell>
          <cell r="P96" t="str">
            <v xml:space="preserve">  </v>
          </cell>
          <cell r="Q96">
            <v>0</v>
          </cell>
          <cell r="R96" t="str">
            <v/>
          </cell>
          <cell r="S96">
            <v>9</v>
          </cell>
          <cell r="T96" t="str">
            <v/>
          </cell>
          <cell r="U96" t="str">
            <v/>
          </cell>
          <cell r="V96" t="str">
            <v/>
          </cell>
          <cell r="W96" t="str">
            <v/>
          </cell>
          <cell r="X96" t="str">
            <v>Thiết kế thiếu</v>
          </cell>
          <cell r="Y96" t="e">
            <v>#N/A</v>
          </cell>
        </row>
        <row r="97">
          <cell r="A97" t="str">
            <v>0</v>
          </cell>
          <cell r="B97">
            <v>95</v>
          </cell>
          <cell r="C97"/>
          <cell r="D97"/>
          <cell r="E97"/>
          <cell r="F97"/>
          <cell r="G97">
            <v>0</v>
          </cell>
          <cell r="H97">
            <v>0</v>
          </cell>
          <cell r="I97">
            <v>0</v>
          </cell>
          <cell r="J97">
            <v>0</v>
          </cell>
          <cell r="K97"/>
          <cell r="L97" t="str">
            <v xml:space="preserve">  </v>
          </cell>
          <cell r="M97" t="str">
            <v xml:space="preserve">  </v>
          </cell>
          <cell r="N97">
            <v>0</v>
          </cell>
          <cell r="O97">
            <v>0</v>
          </cell>
          <cell r="P97" t="str">
            <v xml:space="preserve">  </v>
          </cell>
          <cell r="Q97">
            <v>0</v>
          </cell>
          <cell r="R97" t="str">
            <v/>
          </cell>
          <cell r="S97">
            <v>9</v>
          </cell>
          <cell r="T97" t="str">
            <v/>
          </cell>
          <cell r="U97" t="str">
            <v/>
          </cell>
          <cell r="V97" t="str">
            <v/>
          </cell>
          <cell r="W97" t="str">
            <v/>
          </cell>
          <cell r="X97" t="str">
            <v>Thiết kế thiếu</v>
          </cell>
          <cell r="Y97" t="e">
            <v>#N/A</v>
          </cell>
        </row>
        <row r="98">
          <cell r="A98" t="str">
            <v>0</v>
          </cell>
          <cell r="B98">
            <v>96</v>
          </cell>
          <cell r="C98"/>
          <cell r="D98"/>
          <cell r="E98"/>
          <cell r="F98"/>
          <cell r="G98">
            <v>0</v>
          </cell>
          <cell r="H98">
            <v>0</v>
          </cell>
          <cell r="I98">
            <v>0</v>
          </cell>
          <cell r="J98">
            <v>0</v>
          </cell>
          <cell r="K98"/>
          <cell r="L98" t="str">
            <v xml:space="preserve">  </v>
          </cell>
          <cell r="M98" t="str">
            <v xml:space="preserve">  </v>
          </cell>
          <cell r="N98">
            <v>0</v>
          </cell>
          <cell r="O98">
            <v>0</v>
          </cell>
          <cell r="P98" t="str">
            <v xml:space="preserve">  </v>
          </cell>
          <cell r="Q98">
            <v>0</v>
          </cell>
          <cell r="R98" t="str">
            <v/>
          </cell>
          <cell r="S98">
            <v>9</v>
          </cell>
          <cell r="T98" t="str">
            <v/>
          </cell>
          <cell r="U98" t="str">
            <v/>
          </cell>
          <cell r="V98" t="str">
            <v/>
          </cell>
          <cell r="W98" t="str">
            <v/>
          </cell>
          <cell r="X98" t="str">
            <v>Thiết kế thiếu</v>
          </cell>
          <cell r="Y98" t="e">
            <v>#N/A</v>
          </cell>
        </row>
        <row r="99">
          <cell r="A99" t="str">
            <v>0</v>
          </cell>
          <cell r="B99">
            <v>97</v>
          </cell>
          <cell r="C99"/>
          <cell r="D99"/>
          <cell r="E99"/>
          <cell r="F99"/>
          <cell r="G99">
            <v>0</v>
          </cell>
          <cell r="H99">
            <v>0</v>
          </cell>
          <cell r="I99">
            <v>0</v>
          </cell>
          <cell r="J99">
            <v>0</v>
          </cell>
          <cell r="K99"/>
          <cell r="L99" t="str">
            <v xml:space="preserve">  </v>
          </cell>
          <cell r="M99" t="str">
            <v xml:space="preserve">  </v>
          </cell>
          <cell r="N99">
            <v>0</v>
          </cell>
          <cell r="O99">
            <v>0</v>
          </cell>
          <cell r="P99" t="str">
            <v xml:space="preserve">  </v>
          </cell>
          <cell r="Q99">
            <v>0</v>
          </cell>
          <cell r="R99" t="str">
            <v/>
          </cell>
          <cell r="S99">
            <v>9</v>
          </cell>
          <cell r="T99" t="str">
            <v/>
          </cell>
          <cell r="U99" t="str">
            <v/>
          </cell>
          <cell r="V99" t="str">
            <v/>
          </cell>
          <cell r="W99" t="str">
            <v/>
          </cell>
          <cell r="X99" t="str">
            <v>Thiết kế thiếu</v>
          </cell>
          <cell r="Y99" t="e">
            <v>#N/A</v>
          </cell>
        </row>
        <row r="100">
          <cell r="A100" t="str">
            <v>0</v>
          </cell>
          <cell r="B100">
            <v>98</v>
          </cell>
          <cell r="C100"/>
          <cell r="D100"/>
          <cell r="E100"/>
          <cell r="F100"/>
          <cell r="G100">
            <v>0</v>
          </cell>
          <cell r="H100">
            <v>0</v>
          </cell>
          <cell r="I100">
            <v>0</v>
          </cell>
          <cell r="J100">
            <v>0</v>
          </cell>
          <cell r="K100"/>
          <cell r="L100" t="str">
            <v xml:space="preserve">  </v>
          </cell>
          <cell r="M100" t="str">
            <v xml:space="preserve">  </v>
          </cell>
          <cell r="N100">
            <v>0</v>
          </cell>
          <cell r="O100">
            <v>0</v>
          </cell>
          <cell r="P100" t="str">
            <v xml:space="preserve">  </v>
          </cell>
          <cell r="Q100">
            <v>0</v>
          </cell>
          <cell r="R100" t="str">
            <v/>
          </cell>
          <cell r="S100">
            <v>9</v>
          </cell>
          <cell r="T100" t="str">
            <v/>
          </cell>
          <cell r="U100" t="str">
            <v/>
          </cell>
          <cell r="V100" t="str">
            <v/>
          </cell>
          <cell r="W100" t="str">
            <v/>
          </cell>
          <cell r="X100" t="str">
            <v>Thiết kế thiếu</v>
          </cell>
          <cell r="Y100" t="e">
            <v>#N/A</v>
          </cell>
        </row>
        <row r="101">
          <cell r="A101" t="str">
            <v>0</v>
          </cell>
          <cell r="B101">
            <v>99</v>
          </cell>
          <cell r="C101"/>
          <cell r="D101"/>
          <cell r="E101"/>
          <cell r="F101"/>
          <cell r="G101">
            <v>0</v>
          </cell>
          <cell r="H101">
            <v>0</v>
          </cell>
          <cell r="I101">
            <v>0</v>
          </cell>
          <cell r="J101">
            <v>0</v>
          </cell>
          <cell r="K101"/>
          <cell r="L101" t="str">
            <v xml:space="preserve">  </v>
          </cell>
          <cell r="M101" t="str">
            <v xml:space="preserve">  </v>
          </cell>
          <cell r="N101">
            <v>0</v>
          </cell>
          <cell r="O101">
            <v>0</v>
          </cell>
          <cell r="P101" t="str">
            <v xml:space="preserve">  </v>
          </cell>
          <cell r="Q101">
            <v>0</v>
          </cell>
          <cell r="R101" t="str">
            <v/>
          </cell>
          <cell r="S101">
            <v>9</v>
          </cell>
          <cell r="T101" t="str">
            <v/>
          </cell>
          <cell r="U101" t="str">
            <v/>
          </cell>
          <cell r="V101" t="str">
            <v/>
          </cell>
          <cell r="W101" t="str">
            <v/>
          </cell>
          <cell r="X101" t="str">
            <v>Thiết kế thiếu</v>
          </cell>
          <cell r="Y101" t="e">
            <v>#N/A</v>
          </cell>
        </row>
        <row r="102">
          <cell r="A102" t="str">
            <v>0</v>
          </cell>
          <cell r="B102">
            <v>100</v>
          </cell>
          <cell r="C102"/>
          <cell r="D102"/>
          <cell r="E102"/>
          <cell r="F102"/>
          <cell r="G102">
            <v>0</v>
          </cell>
          <cell r="H102">
            <v>0</v>
          </cell>
          <cell r="I102">
            <v>0</v>
          </cell>
          <cell r="J102">
            <v>0</v>
          </cell>
          <cell r="K102"/>
          <cell r="L102" t="str">
            <v xml:space="preserve">  </v>
          </cell>
          <cell r="M102" t="str">
            <v xml:space="preserve">  </v>
          </cell>
          <cell r="N102">
            <v>0</v>
          </cell>
          <cell r="O102">
            <v>0</v>
          </cell>
          <cell r="P102" t="str">
            <v xml:space="preserve">  </v>
          </cell>
          <cell r="Q102">
            <v>0</v>
          </cell>
          <cell r="R102" t="str">
            <v/>
          </cell>
          <cell r="S102">
            <v>9</v>
          </cell>
          <cell r="T102" t="str">
            <v/>
          </cell>
          <cell r="U102" t="str">
            <v/>
          </cell>
          <cell r="V102" t="str">
            <v/>
          </cell>
          <cell r="W102" t="str">
            <v/>
          </cell>
          <cell r="X102" t="str">
            <v>Thiết kế thiếu</v>
          </cell>
          <cell r="Y102" t="e">
            <v>#N/A</v>
          </cell>
        </row>
        <row r="103">
          <cell r="A103" t="str">
            <v>0</v>
          </cell>
          <cell r="B103">
            <v>101</v>
          </cell>
          <cell r="C103"/>
          <cell r="D103"/>
          <cell r="E103"/>
          <cell r="F103"/>
          <cell r="G103">
            <v>0</v>
          </cell>
          <cell r="H103">
            <v>0</v>
          </cell>
          <cell r="I103">
            <v>0</v>
          </cell>
          <cell r="J103">
            <v>0</v>
          </cell>
          <cell r="K103"/>
          <cell r="L103" t="str">
            <v xml:space="preserve">  </v>
          </cell>
          <cell r="M103" t="str">
            <v xml:space="preserve">  </v>
          </cell>
          <cell r="N103">
            <v>0</v>
          </cell>
          <cell r="O103">
            <v>0</v>
          </cell>
          <cell r="P103" t="str">
            <v xml:space="preserve">  </v>
          </cell>
          <cell r="Q103">
            <v>0</v>
          </cell>
          <cell r="R103" t="str">
            <v/>
          </cell>
          <cell r="S103">
            <v>9</v>
          </cell>
          <cell r="T103" t="str">
            <v/>
          </cell>
          <cell r="U103" t="str">
            <v/>
          </cell>
          <cell r="V103" t="str">
            <v/>
          </cell>
          <cell r="W103" t="str">
            <v/>
          </cell>
          <cell r="X103" t="str">
            <v>Thiết kế thiếu</v>
          </cell>
          <cell r="Y103" t="e">
            <v>#N/A</v>
          </cell>
        </row>
        <row r="104">
          <cell r="A104" t="str">
            <v>0</v>
          </cell>
          <cell r="B104">
            <v>102</v>
          </cell>
          <cell r="C104"/>
          <cell r="D104"/>
          <cell r="E104"/>
          <cell r="F104"/>
          <cell r="G104">
            <v>0</v>
          </cell>
          <cell r="H104">
            <v>0</v>
          </cell>
          <cell r="I104">
            <v>0</v>
          </cell>
          <cell r="J104">
            <v>0</v>
          </cell>
          <cell r="K104"/>
          <cell r="L104" t="str">
            <v xml:space="preserve">  </v>
          </cell>
          <cell r="M104" t="str">
            <v xml:space="preserve">  </v>
          </cell>
          <cell r="N104">
            <v>0</v>
          </cell>
          <cell r="O104">
            <v>0</v>
          </cell>
          <cell r="P104" t="str">
            <v xml:space="preserve">  </v>
          </cell>
          <cell r="Q104">
            <v>0</v>
          </cell>
          <cell r="R104" t="str">
            <v/>
          </cell>
          <cell r="S104">
            <v>9</v>
          </cell>
          <cell r="T104" t="str">
            <v/>
          </cell>
          <cell r="U104" t="str">
            <v/>
          </cell>
          <cell r="V104" t="str">
            <v/>
          </cell>
          <cell r="W104" t="str">
            <v/>
          </cell>
          <cell r="X104" t="str">
            <v>Thiết kế thiếu</v>
          </cell>
          <cell r="Y104" t="e">
            <v>#N/A</v>
          </cell>
        </row>
        <row r="105">
          <cell r="A105" t="str">
            <v>0</v>
          </cell>
          <cell r="B105">
            <v>103</v>
          </cell>
          <cell r="C105"/>
          <cell r="D105"/>
          <cell r="E105"/>
          <cell r="F105"/>
          <cell r="G105">
            <v>0</v>
          </cell>
          <cell r="H105">
            <v>0</v>
          </cell>
          <cell r="I105">
            <v>0</v>
          </cell>
          <cell r="J105">
            <v>0</v>
          </cell>
          <cell r="K105"/>
          <cell r="L105" t="str">
            <v xml:space="preserve">  </v>
          </cell>
          <cell r="M105" t="str">
            <v xml:space="preserve">  </v>
          </cell>
          <cell r="N105">
            <v>0</v>
          </cell>
          <cell r="O105">
            <v>0</v>
          </cell>
          <cell r="P105" t="str">
            <v xml:space="preserve">  </v>
          </cell>
          <cell r="Q105">
            <v>0</v>
          </cell>
          <cell r="R105" t="str">
            <v/>
          </cell>
          <cell r="S105">
            <v>9</v>
          </cell>
          <cell r="T105" t="str">
            <v/>
          </cell>
          <cell r="U105" t="str">
            <v/>
          </cell>
          <cell r="V105" t="str">
            <v/>
          </cell>
          <cell r="W105" t="str">
            <v/>
          </cell>
          <cell r="X105" t="str">
            <v>Thiết kế thiếu</v>
          </cell>
          <cell r="Y105" t="e">
            <v>#N/A</v>
          </cell>
        </row>
        <row r="106">
          <cell r="A106" t="str">
            <v>0</v>
          </cell>
          <cell r="B106">
            <v>104</v>
          </cell>
          <cell r="C106"/>
          <cell r="D106"/>
          <cell r="E106"/>
          <cell r="F106"/>
          <cell r="G106">
            <v>0</v>
          </cell>
          <cell r="H106">
            <v>0</v>
          </cell>
          <cell r="I106">
            <v>0</v>
          </cell>
          <cell r="J106">
            <v>0</v>
          </cell>
          <cell r="K106"/>
          <cell r="L106" t="str">
            <v xml:space="preserve">  </v>
          </cell>
          <cell r="M106" t="str">
            <v xml:space="preserve">  </v>
          </cell>
          <cell r="N106">
            <v>0</v>
          </cell>
          <cell r="O106">
            <v>0</v>
          </cell>
          <cell r="P106" t="str">
            <v xml:space="preserve">  </v>
          </cell>
          <cell r="Q106">
            <v>0</v>
          </cell>
          <cell r="R106" t="str">
            <v/>
          </cell>
          <cell r="S106">
            <v>9</v>
          </cell>
          <cell r="T106" t="str">
            <v/>
          </cell>
          <cell r="U106" t="str">
            <v/>
          </cell>
          <cell r="V106" t="str">
            <v/>
          </cell>
          <cell r="W106" t="str">
            <v/>
          </cell>
          <cell r="X106" t="str">
            <v>Thiết kế thiếu</v>
          </cell>
          <cell r="Y106" t="e">
            <v>#N/A</v>
          </cell>
        </row>
        <row r="107">
          <cell r="A107" t="str">
            <v>0</v>
          </cell>
          <cell r="B107">
            <v>105</v>
          </cell>
          <cell r="C107"/>
          <cell r="D107"/>
          <cell r="E107"/>
          <cell r="F107"/>
          <cell r="G107">
            <v>0</v>
          </cell>
          <cell r="H107">
            <v>0</v>
          </cell>
          <cell r="I107">
            <v>0</v>
          </cell>
          <cell r="J107">
            <v>0</v>
          </cell>
          <cell r="K107"/>
          <cell r="L107" t="str">
            <v xml:space="preserve">  </v>
          </cell>
          <cell r="M107" t="str">
            <v xml:space="preserve">  </v>
          </cell>
          <cell r="N107">
            <v>0</v>
          </cell>
          <cell r="O107">
            <v>0</v>
          </cell>
          <cell r="P107" t="str">
            <v xml:space="preserve">  </v>
          </cell>
          <cell r="Q107">
            <v>0</v>
          </cell>
          <cell r="R107" t="str">
            <v/>
          </cell>
          <cell r="S107">
            <v>9</v>
          </cell>
          <cell r="T107" t="str">
            <v/>
          </cell>
          <cell r="U107" t="str">
            <v/>
          </cell>
          <cell r="V107" t="str">
            <v/>
          </cell>
          <cell r="W107" t="str">
            <v/>
          </cell>
          <cell r="X107" t="str">
            <v>Thiết kế thiếu</v>
          </cell>
          <cell r="Y107" t="e">
            <v>#N/A</v>
          </cell>
        </row>
        <row r="108">
          <cell r="A108" t="str">
            <v>0</v>
          </cell>
          <cell r="B108">
            <v>106</v>
          </cell>
          <cell r="C108"/>
          <cell r="D108"/>
          <cell r="E108"/>
          <cell r="F108"/>
          <cell r="G108">
            <v>0</v>
          </cell>
          <cell r="H108">
            <v>0</v>
          </cell>
          <cell r="I108">
            <v>0</v>
          </cell>
          <cell r="J108">
            <v>0</v>
          </cell>
          <cell r="K108"/>
          <cell r="L108" t="str">
            <v xml:space="preserve">  </v>
          </cell>
          <cell r="M108" t="str">
            <v xml:space="preserve">  </v>
          </cell>
          <cell r="N108">
            <v>0</v>
          </cell>
          <cell r="O108">
            <v>0</v>
          </cell>
          <cell r="P108" t="str">
            <v xml:space="preserve">  </v>
          </cell>
          <cell r="Q108">
            <v>0</v>
          </cell>
          <cell r="R108" t="str">
            <v/>
          </cell>
          <cell r="S108">
            <v>9</v>
          </cell>
          <cell r="T108" t="str">
            <v/>
          </cell>
          <cell r="U108" t="str">
            <v/>
          </cell>
          <cell r="V108" t="str">
            <v/>
          </cell>
          <cell r="W108" t="str">
            <v/>
          </cell>
          <cell r="X108" t="str">
            <v>Thiết kế thiếu</v>
          </cell>
          <cell r="Y108" t="e">
            <v>#N/A</v>
          </cell>
        </row>
        <row r="109">
          <cell r="A109" t="str">
            <v>0</v>
          </cell>
          <cell r="B109">
            <v>107</v>
          </cell>
          <cell r="C109"/>
          <cell r="D109"/>
          <cell r="E109"/>
          <cell r="F109"/>
          <cell r="G109">
            <v>0</v>
          </cell>
          <cell r="H109">
            <v>0</v>
          </cell>
          <cell r="I109">
            <v>0</v>
          </cell>
          <cell r="J109">
            <v>0</v>
          </cell>
          <cell r="K109"/>
          <cell r="L109" t="str">
            <v xml:space="preserve">  </v>
          </cell>
          <cell r="M109" t="str">
            <v xml:space="preserve">  </v>
          </cell>
          <cell r="N109">
            <v>0</v>
          </cell>
          <cell r="O109">
            <v>0</v>
          </cell>
          <cell r="P109" t="str">
            <v xml:space="preserve">  </v>
          </cell>
          <cell r="Q109">
            <v>0</v>
          </cell>
          <cell r="R109" t="str">
            <v/>
          </cell>
          <cell r="S109">
            <v>9</v>
          </cell>
          <cell r="T109" t="str">
            <v/>
          </cell>
          <cell r="U109" t="str">
            <v/>
          </cell>
          <cell r="V109" t="str">
            <v/>
          </cell>
          <cell r="W109" t="str">
            <v/>
          </cell>
          <cell r="X109" t="str">
            <v>Thiết kế thiếu</v>
          </cell>
          <cell r="Y109" t="e">
            <v>#N/A</v>
          </cell>
        </row>
        <row r="110">
          <cell r="A110" t="str">
            <v>0</v>
          </cell>
          <cell r="B110">
            <v>108</v>
          </cell>
          <cell r="C110"/>
          <cell r="D110"/>
          <cell r="E110"/>
          <cell r="F110"/>
          <cell r="G110">
            <v>0</v>
          </cell>
          <cell r="H110">
            <v>0</v>
          </cell>
          <cell r="I110">
            <v>0</v>
          </cell>
          <cell r="J110">
            <v>0</v>
          </cell>
          <cell r="K110"/>
          <cell r="L110" t="str">
            <v xml:space="preserve">  </v>
          </cell>
          <cell r="M110" t="str">
            <v xml:space="preserve">  </v>
          </cell>
          <cell r="N110">
            <v>0</v>
          </cell>
          <cell r="O110">
            <v>0</v>
          </cell>
          <cell r="P110" t="str">
            <v xml:space="preserve">  </v>
          </cell>
          <cell r="Q110">
            <v>0</v>
          </cell>
          <cell r="R110" t="str">
            <v/>
          </cell>
          <cell r="S110">
            <v>9</v>
          </cell>
          <cell r="T110" t="str">
            <v/>
          </cell>
          <cell r="U110" t="str">
            <v/>
          </cell>
          <cell r="V110" t="str">
            <v/>
          </cell>
          <cell r="W110" t="str">
            <v/>
          </cell>
          <cell r="X110" t="str">
            <v>Thiết kế thiếu</v>
          </cell>
          <cell r="Y110" t="e">
            <v>#N/A</v>
          </cell>
        </row>
        <row r="111">
          <cell r="A111" t="str">
            <v>0</v>
          </cell>
          <cell r="B111">
            <v>109</v>
          </cell>
          <cell r="C111"/>
          <cell r="D111"/>
          <cell r="E111"/>
          <cell r="F111"/>
          <cell r="G111">
            <v>0</v>
          </cell>
          <cell r="H111">
            <v>0</v>
          </cell>
          <cell r="I111">
            <v>0</v>
          </cell>
          <cell r="J111">
            <v>0</v>
          </cell>
          <cell r="K111"/>
          <cell r="L111" t="str">
            <v xml:space="preserve">  </v>
          </cell>
          <cell r="M111" t="str">
            <v xml:space="preserve">  </v>
          </cell>
          <cell r="N111">
            <v>0</v>
          </cell>
          <cell r="O111">
            <v>0</v>
          </cell>
          <cell r="P111" t="str">
            <v xml:space="preserve">  </v>
          </cell>
          <cell r="Q111">
            <v>0</v>
          </cell>
          <cell r="R111" t="str">
            <v/>
          </cell>
          <cell r="S111">
            <v>9</v>
          </cell>
          <cell r="T111" t="str">
            <v/>
          </cell>
          <cell r="U111" t="str">
            <v/>
          </cell>
          <cell r="V111" t="str">
            <v/>
          </cell>
          <cell r="W111" t="str">
            <v/>
          </cell>
          <cell r="X111" t="str">
            <v>Thiết kế thiếu</v>
          </cell>
          <cell r="Y111" t="e">
            <v>#N/A</v>
          </cell>
        </row>
        <row r="112">
          <cell r="A112" t="str">
            <v>0</v>
          </cell>
          <cell r="B112">
            <v>110</v>
          </cell>
          <cell r="C112"/>
          <cell r="D112"/>
          <cell r="E112"/>
          <cell r="F112"/>
          <cell r="G112">
            <v>0</v>
          </cell>
          <cell r="H112">
            <v>0</v>
          </cell>
          <cell r="I112">
            <v>0</v>
          </cell>
          <cell r="J112">
            <v>0</v>
          </cell>
          <cell r="K112"/>
          <cell r="L112" t="str">
            <v xml:space="preserve">  </v>
          </cell>
          <cell r="M112" t="str">
            <v xml:space="preserve">  </v>
          </cell>
          <cell r="N112">
            <v>0</v>
          </cell>
          <cell r="O112">
            <v>0</v>
          </cell>
          <cell r="P112" t="str">
            <v xml:space="preserve">  </v>
          </cell>
          <cell r="Q112">
            <v>0</v>
          </cell>
          <cell r="R112" t="str">
            <v/>
          </cell>
          <cell r="S112">
            <v>9</v>
          </cell>
          <cell r="T112" t="str">
            <v/>
          </cell>
          <cell r="U112" t="str">
            <v/>
          </cell>
          <cell r="V112" t="str">
            <v/>
          </cell>
          <cell r="W112" t="str">
            <v/>
          </cell>
          <cell r="X112" t="str">
            <v>Thiết kế thiếu</v>
          </cell>
          <cell r="Y112" t="e">
            <v>#N/A</v>
          </cell>
        </row>
        <row r="113">
          <cell r="A113" t="str">
            <v>0</v>
          </cell>
          <cell r="B113">
            <v>111</v>
          </cell>
          <cell r="C113"/>
          <cell r="D113"/>
          <cell r="E113"/>
          <cell r="F113"/>
          <cell r="G113">
            <v>0</v>
          </cell>
          <cell r="H113">
            <v>0</v>
          </cell>
          <cell r="I113">
            <v>0</v>
          </cell>
          <cell r="J113">
            <v>0</v>
          </cell>
          <cell r="K113"/>
          <cell r="L113" t="str">
            <v xml:space="preserve">  </v>
          </cell>
          <cell r="M113" t="str">
            <v xml:space="preserve">  </v>
          </cell>
          <cell r="N113">
            <v>0</v>
          </cell>
          <cell r="O113">
            <v>0</v>
          </cell>
          <cell r="P113" t="str">
            <v xml:space="preserve">  </v>
          </cell>
          <cell r="Q113">
            <v>0</v>
          </cell>
          <cell r="R113" t="str">
            <v/>
          </cell>
          <cell r="S113">
            <v>9</v>
          </cell>
          <cell r="T113" t="str">
            <v/>
          </cell>
          <cell r="U113" t="str">
            <v/>
          </cell>
          <cell r="V113" t="str">
            <v/>
          </cell>
          <cell r="W113" t="str">
            <v/>
          </cell>
          <cell r="X113" t="str">
            <v>Thiết kế thiếu</v>
          </cell>
          <cell r="Y113" t="e">
            <v>#N/A</v>
          </cell>
        </row>
        <row r="114">
          <cell r="A114" t="str">
            <v>0</v>
          </cell>
          <cell r="B114">
            <v>112</v>
          </cell>
          <cell r="C114"/>
          <cell r="D114"/>
          <cell r="E114"/>
          <cell r="F114"/>
          <cell r="G114">
            <v>0</v>
          </cell>
          <cell r="H114">
            <v>0</v>
          </cell>
          <cell r="I114">
            <v>0</v>
          </cell>
          <cell r="J114">
            <v>0</v>
          </cell>
          <cell r="K114"/>
          <cell r="L114" t="str">
            <v xml:space="preserve">  </v>
          </cell>
          <cell r="M114" t="str">
            <v xml:space="preserve">  </v>
          </cell>
          <cell r="N114">
            <v>0</v>
          </cell>
          <cell r="O114">
            <v>0</v>
          </cell>
          <cell r="P114" t="str">
            <v xml:space="preserve">  </v>
          </cell>
          <cell r="Q114">
            <v>0</v>
          </cell>
          <cell r="R114" t="str">
            <v/>
          </cell>
          <cell r="S114">
            <v>9</v>
          </cell>
          <cell r="T114" t="str">
            <v/>
          </cell>
          <cell r="U114" t="str">
            <v/>
          </cell>
          <cell r="V114" t="str">
            <v/>
          </cell>
          <cell r="W114" t="str">
            <v/>
          </cell>
          <cell r="X114" t="str">
            <v>Thiết kế thiếu</v>
          </cell>
          <cell r="Y114" t="e">
            <v>#N/A</v>
          </cell>
        </row>
        <row r="115">
          <cell r="A115" t="str">
            <v>0</v>
          </cell>
          <cell r="B115">
            <v>113</v>
          </cell>
          <cell r="C115"/>
          <cell r="D115"/>
          <cell r="E115"/>
          <cell r="F115"/>
          <cell r="G115">
            <v>0</v>
          </cell>
          <cell r="H115">
            <v>0</v>
          </cell>
          <cell r="I115">
            <v>0</v>
          </cell>
          <cell r="J115">
            <v>0</v>
          </cell>
          <cell r="K115"/>
          <cell r="L115" t="str">
            <v xml:space="preserve">  </v>
          </cell>
          <cell r="M115" t="str">
            <v xml:space="preserve">  </v>
          </cell>
          <cell r="N115">
            <v>0</v>
          </cell>
          <cell r="O115">
            <v>0</v>
          </cell>
          <cell r="P115" t="str">
            <v xml:space="preserve">  </v>
          </cell>
          <cell r="Q115">
            <v>0</v>
          </cell>
          <cell r="R115" t="str">
            <v/>
          </cell>
          <cell r="S115">
            <v>9</v>
          </cell>
          <cell r="T115" t="str">
            <v/>
          </cell>
          <cell r="U115" t="str">
            <v/>
          </cell>
          <cell r="V115" t="str">
            <v/>
          </cell>
          <cell r="W115" t="str">
            <v/>
          </cell>
          <cell r="X115" t="str">
            <v>Thiết kế thiếu</v>
          </cell>
          <cell r="Y115" t="e">
            <v>#N/A</v>
          </cell>
        </row>
        <row r="116">
          <cell r="A116" t="str">
            <v>0</v>
          </cell>
          <cell r="B116">
            <v>114</v>
          </cell>
          <cell r="C116"/>
          <cell r="D116"/>
          <cell r="E116"/>
          <cell r="F116"/>
          <cell r="G116">
            <v>0</v>
          </cell>
          <cell r="H116">
            <v>0</v>
          </cell>
          <cell r="I116">
            <v>0</v>
          </cell>
          <cell r="J116">
            <v>0</v>
          </cell>
          <cell r="K116"/>
          <cell r="L116" t="str">
            <v xml:space="preserve">  </v>
          </cell>
          <cell r="M116" t="str">
            <v xml:space="preserve">  </v>
          </cell>
          <cell r="N116">
            <v>0</v>
          </cell>
          <cell r="O116">
            <v>0</v>
          </cell>
          <cell r="P116" t="str">
            <v xml:space="preserve">  </v>
          </cell>
          <cell r="Q116">
            <v>0</v>
          </cell>
          <cell r="R116" t="str">
            <v/>
          </cell>
          <cell r="S116">
            <v>9</v>
          </cell>
          <cell r="T116" t="str">
            <v/>
          </cell>
          <cell r="U116" t="str">
            <v/>
          </cell>
          <cell r="V116" t="str">
            <v/>
          </cell>
          <cell r="W116" t="str">
            <v/>
          </cell>
          <cell r="X116" t="str">
            <v>Thiết kế thiếu</v>
          </cell>
          <cell r="Y116" t="e">
            <v>#N/A</v>
          </cell>
        </row>
        <row r="117">
          <cell r="A117" t="str">
            <v>0</v>
          </cell>
          <cell r="B117">
            <v>115</v>
          </cell>
          <cell r="C117"/>
          <cell r="D117"/>
          <cell r="E117"/>
          <cell r="F117"/>
          <cell r="G117">
            <v>0</v>
          </cell>
          <cell r="H117">
            <v>0</v>
          </cell>
          <cell r="I117">
            <v>0</v>
          </cell>
          <cell r="J117">
            <v>0</v>
          </cell>
          <cell r="K117"/>
          <cell r="L117" t="str">
            <v xml:space="preserve">  </v>
          </cell>
          <cell r="M117" t="str">
            <v xml:space="preserve">  </v>
          </cell>
          <cell r="N117">
            <v>0</v>
          </cell>
          <cell r="O117">
            <v>0</v>
          </cell>
          <cell r="P117" t="str">
            <v xml:space="preserve">  </v>
          </cell>
          <cell r="Q117">
            <v>0</v>
          </cell>
          <cell r="R117" t="str">
            <v/>
          </cell>
          <cell r="S117">
            <v>9</v>
          </cell>
          <cell r="T117" t="str">
            <v/>
          </cell>
          <cell r="U117" t="str">
            <v/>
          </cell>
          <cell r="V117" t="str">
            <v/>
          </cell>
          <cell r="W117" t="str">
            <v/>
          </cell>
          <cell r="X117" t="str">
            <v>Thiết kế thiếu</v>
          </cell>
          <cell r="Y117" t="e">
            <v>#N/A</v>
          </cell>
        </row>
        <row r="118">
          <cell r="A118" t="str">
            <v>0</v>
          </cell>
          <cell r="B118">
            <v>116</v>
          </cell>
          <cell r="C118"/>
          <cell r="D118"/>
          <cell r="E118"/>
          <cell r="F118"/>
          <cell r="G118">
            <v>0</v>
          </cell>
          <cell r="H118">
            <v>0</v>
          </cell>
          <cell r="I118">
            <v>0</v>
          </cell>
          <cell r="J118">
            <v>0</v>
          </cell>
          <cell r="K118"/>
          <cell r="L118" t="str">
            <v xml:space="preserve">  </v>
          </cell>
          <cell r="M118" t="str">
            <v xml:space="preserve">  </v>
          </cell>
          <cell r="N118">
            <v>0</v>
          </cell>
          <cell r="O118">
            <v>0</v>
          </cell>
          <cell r="P118" t="str">
            <v xml:space="preserve">  </v>
          </cell>
          <cell r="Q118">
            <v>0</v>
          </cell>
          <cell r="R118" t="str">
            <v/>
          </cell>
          <cell r="S118">
            <v>9</v>
          </cell>
          <cell r="T118" t="str">
            <v/>
          </cell>
          <cell r="U118" t="str">
            <v/>
          </cell>
          <cell r="V118" t="str">
            <v/>
          </cell>
          <cell r="W118" t="str">
            <v/>
          </cell>
          <cell r="X118" t="str">
            <v>Thiết kế thiếu</v>
          </cell>
          <cell r="Y118" t="e">
            <v>#N/A</v>
          </cell>
        </row>
        <row r="119">
          <cell r="A119" t="str">
            <v>0</v>
          </cell>
          <cell r="B119">
            <v>117</v>
          </cell>
          <cell r="C119"/>
          <cell r="D119"/>
          <cell r="E119"/>
          <cell r="F119"/>
          <cell r="G119">
            <v>0</v>
          </cell>
          <cell r="H119">
            <v>0</v>
          </cell>
          <cell r="I119">
            <v>0</v>
          </cell>
          <cell r="J119">
            <v>0</v>
          </cell>
          <cell r="K119"/>
          <cell r="L119" t="str">
            <v xml:space="preserve">  </v>
          </cell>
          <cell r="M119" t="str">
            <v xml:space="preserve">  </v>
          </cell>
          <cell r="N119">
            <v>0</v>
          </cell>
          <cell r="O119">
            <v>0</v>
          </cell>
          <cell r="P119" t="str">
            <v xml:space="preserve">  </v>
          </cell>
          <cell r="Q119">
            <v>0</v>
          </cell>
          <cell r="R119" t="str">
            <v/>
          </cell>
          <cell r="S119">
            <v>9</v>
          </cell>
          <cell r="T119" t="str">
            <v/>
          </cell>
          <cell r="U119" t="str">
            <v/>
          </cell>
          <cell r="V119" t="str">
            <v/>
          </cell>
          <cell r="W119" t="str">
            <v/>
          </cell>
          <cell r="X119" t="str">
            <v>Thiết kế thiếu</v>
          </cell>
          <cell r="Y119" t="e">
            <v>#N/A</v>
          </cell>
        </row>
        <row r="120">
          <cell r="A120" t="str">
            <v>0</v>
          </cell>
          <cell r="B120">
            <v>118</v>
          </cell>
          <cell r="C120"/>
          <cell r="D120"/>
          <cell r="E120"/>
          <cell r="F120"/>
          <cell r="G120">
            <v>0</v>
          </cell>
          <cell r="H120">
            <v>0</v>
          </cell>
          <cell r="I120">
            <v>0</v>
          </cell>
          <cell r="J120">
            <v>0</v>
          </cell>
          <cell r="K120"/>
          <cell r="L120" t="str">
            <v xml:space="preserve">  </v>
          </cell>
          <cell r="M120" t="str">
            <v xml:space="preserve">  </v>
          </cell>
          <cell r="N120">
            <v>0</v>
          </cell>
          <cell r="O120">
            <v>0</v>
          </cell>
          <cell r="P120" t="str">
            <v xml:space="preserve">  </v>
          </cell>
          <cell r="Q120">
            <v>0</v>
          </cell>
          <cell r="R120" t="str">
            <v/>
          </cell>
          <cell r="S120">
            <v>9</v>
          </cell>
          <cell r="T120" t="str">
            <v/>
          </cell>
          <cell r="U120" t="str">
            <v/>
          </cell>
          <cell r="V120" t="str">
            <v/>
          </cell>
          <cell r="W120" t="str">
            <v/>
          </cell>
          <cell r="X120" t="str">
            <v>Thiết kế thiếu</v>
          </cell>
          <cell r="Y120" t="e">
            <v>#N/A</v>
          </cell>
        </row>
        <row r="121">
          <cell r="A121" t="str">
            <v>0</v>
          </cell>
          <cell r="B121">
            <v>119</v>
          </cell>
          <cell r="C121"/>
          <cell r="D121"/>
          <cell r="E121"/>
          <cell r="F121"/>
          <cell r="G121">
            <v>0</v>
          </cell>
          <cell r="H121">
            <v>0</v>
          </cell>
          <cell r="I121">
            <v>0</v>
          </cell>
          <cell r="J121">
            <v>0</v>
          </cell>
          <cell r="K121"/>
          <cell r="L121" t="str">
            <v xml:space="preserve">  </v>
          </cell>
          <cell r="M121" t="str">
            <v xml:space="preserve">  </v>
          </cell>
          <cell r="N121">
            <v>0</v>
          </cell>
          <cell r="O121">
            <v>0</v>
          </cell>
          <cell r="P121" t="str">
            <v xml:space="preserve">  </v>
          </cell>
          <cell r="Q121">
            <v>0</v>
          </cell>
          <cell r="R121" t="str">
            <v/>
          </cell>
          <cell r="S121">
            <v>9</v>
          </cell>
          <cell r="T121" t="str">
            <v/>
          </cell>
          <cell r="U121" t="str">
            <v/>
          </cell>
          <cell r="V121" t="str">
            <v/>
          </cell>
          <cell r="W121" t="str">
            <v/>
          </cell>
          <cell r="X121" t="str">
            <v>Thiết kế thiếu</v>
          </cell>
          <cell r="Y121" t="e">
            <v>#N/A</v>
          </cell>
        </row>
        <row r="122">
          <cell r="A122" t="str">
            <v>96</v>
          </cell>
          <cell r="B122">
            <v>120</v>
          </cell>
          <cell r="C122" t="str">
            <v/>
          </cell>
          <cell r="D122"/>
          <cell r="E122"/>
          <cell r="F122"/>
          <cell r="G122">
            <v>0</v>
          </cell>
          <cell r="H122">
            <v>0</v>
          </cell>
          <cell r="I122">
            <v>0</v>
          </cell>
          <cell r="J122">
            <v>0</v>
          </cell>
          <cell r="K122"/>
          <cell r="L122" t="str">
            <v xml:space="preserve">  </v>
          </cell>
          <cell r="M122" t="str">
            <v xml:space="preserve">  </v>
          </cell>
          <cell r="N122" t="str">
            <v/>
          </cell>
          <cell r="O122" t="str">
            <v/>
          </cell>
          <cell r="P122" t="str">
            <v xml:space="preserve">  </v>
          </cell>
          <cell r="Q122">
            <v>0</v>
          </cell>
          <cell r="R122" t="str">
            <v/>
          </cell>
          <cell r="S122">
            <v>9</v>
          </cell>
          <cell r="T122" t="str">
            <v/>
          </cell>
          <cell r="U122" t="str">
            <v/>
          </cell>
          <cell r="V122" t="str">
            <v/>
          </cell>
          <cell r="W122" t="str">
            <v/>
          </cell>
          <cell r="X122" t="str">
            <v>Thiết kế thiếu</v>
          </cell>
          <cell r="Y122" t="e">
            <v>#N/A</v>
          </cell>
        </row>
        <row r="123">
          <cell r="A123" t="str">
            <v>97</v>
          </cell>
          <cell r="B123">
            <v>121</v>
          </cell>
          <cell r="C123" t="str">
            <v/>
          </cell>
          <cell r="D123"/>
          <cell r="E123"/>
          <cell r="F123"/>
          <cell r="G123">
            <v>0</v>
          </cell>
          <cell r="H123">
            <v>0</v>
          </cell>
          <cell r="I123">
            <v>0</v>
          </cell>
          <cell r="J123">
            <v>0</v>
          </cell>
          <cell r="K123"/>
          <cell r="L123" t="str">
            <v xml:space="preserve">  </v>
          </cell>
          <cell r="M123" t="str">
            <v xml:space="preserve">  </v>
          </cell>
          <cell r="N123" t="str">
            <v/>
          </cell>
          <cell r="O123" t="str">
            <v/>
          </cell>
          <cell r="P123" t="str">
            <v xml:space="preserve">  </v>
          </cell>
          <cell r="Q123">
            <v>0</v>
          </cell>
          <cell r="R123" t="str">
            <v/>
          </cell>
          <cell r="S123">
            <v>9</v>
          </cell>
          <cell r="T123" t="str">
            <v/>
          </cell>
          <cell r="U123" t="str">
            <v/>
          </cell>
          <cell r="V123" t="str">
            <v/>
          </cell>
          <cell r="W123" t="str">
            <v/>
          </cell>
          <cell r="X123" t="str">
            <v>Thiết kế thiếu</v>
          </cell>
          <cell r="Y123" t="e">
            <v>#N/A</v>
          </cell>
        </row>
        <row r="124">
          <cell r="A124" t="str">
            <v>98</v>
          </cell>
          <cell r="B124">
            <v>122</v>
          </cell>
          <cell r="C124" t="str">
            <v/>
          </cell>
          <cell r="D124"/>
          <cell r="E124"/>
          <cell r="F124"/>
          <cell r="G124">
            <v>0</v>
          </cell>
          <cell r="H124">
            <v>0</v>
          </cell>
          <cell r="I124">
            <v>0</v>
          </cell>
          <cell r="J124">
            <v>0</v>
          </cell>
          <cell r="K124"/>
          <cell r="L124" t="str">
            <v xml:space="preserve">  </v>
          </cell>
          <cell r="M124" t="str">
            <v xml:space="preserve">  </v>
          </cell>
          <cell r="N124" t="str">
            <v/>
          </cell>
          <cell r="O124" t="str">
            <v/>
          </cell>
          <cell r="P124" t="str">
            <v xml:space="preserve">  </v>
          </cell>
          <cell r="Q124">
            <v>0</v>
          </cell>
          <cell r="R124" t="str">
            <v/>
          </cell>
          <cell r="S124">
            <v>9</v>
          </cell>
          <cell r="T124" t="str">
            <v/>
          </cell>
          <cell r="U124" t="str">
            <v/>
          </cell>
          <cell r="V124" t="str">
            <v/>
          </cell>
          <cell r="W124" t="str">
            <v/>
          </cell>
          <cell r="X124" t="str">
            <v>Thiết kế thiếu</v>
          </cell>
          <cell r="Y124" t="e">
            <v>#N/A</v>
          </cell>
        </row>
        <row r="125">
          <cell r="A125" t="str">
            <v>99</v>
          </cell>
          <cell r="B125">
            <v>123</v>
          </cell>
          <cell r="C125" t="str">
            <v/>
          </cell>
          <cell r="D125"/>
          <cell r="E125"/>
          <cell r="F125"/>
          <cell r="G125">
            <v>0</v>
          </cell>
          <cell r="H125">
            <v>0</v>
          </cell>
          <cell r="I125">
            <v>0</v>
          </cell>
          <cell r="J125">
            <v>0</v>
          </cell>
          <cell r="K125"/>
          <cell r="L125" t="str">
            <v xml:space="preserve">  </v>
          </cell>
          <cell r="M125" t="str">
            <v xml:space="preserve">  </v>
          </cell>
          <cell r="N125" t="str">
            <v/>
          </cell>
          <cell r="O125" t="str">
            <v/>
          </cell>
          <cell r="P125" t="str">
            <v xml:space="preserve">  </v>
          </cell>
          <cell r="Q125">
            <v>0</v>
          </cell>
          <cell r="R125" t="str">
            <v/>
          </cell>
          <cell r="S125">
            <v>9</v>
          </cell>
          <cell r="T125" t="str">
            <v/>
          </cell>
          <cell r="U125" t="str">
            <v/>
          </cell>
          <cell r="V125" t="str">
            <v/>
          </cell>
          <cell r="W125" t="str">
            <v/>
          </cell>
          <cell r="X125" t="str">
            <v>Thiết kế thiếu</v>
          </cell>
          <cell r="Y125" t="e">
            <v>#N/A</v>
          </cell>
        </row>
        <row r="126">
          <cell r="A126" t="str">
            <v>100</v>
          </cell>
          <cell r="B126">
            <v>124</v>
          </cell>
          <cell r="C126" t="str">
            <v/>
          </cell>
          <cell r="D126"/>
          <cell r="E126"/>
          <cell r="F126"/>
          <cell r="G126">
            <v>0</v>
          </cell>
          <cell r="H126">
            <v>0</v>
          </cell>
          <cell r="I126">
            <v>0</v>
          </cell>
          <cell r="J126">
            <v>0</v>
          </cell>
          <cell r="K126"/>
          <cell r="L126" t="str">
            <v xml:space="preserve">  </v>
          </cell>
          <cell r="M126" t="str">
            <v xml:space="preserve">  </v>
          </cell>
          <cell r="N126" t="str">
            <v/>
          </cell>
          <cell r="O126" t="str">
            <v/>
          </cell>
          <cell r="P126" t="str">
            <v xml:space="preserve">  </v>
          </cell>
          <cell r="Q126">
            <v>0</v>
          </cell>
          <cell r="R126" t="str">
            <v/>
          </cell>
          <cell r="S126">
            <v>9</v>
          </cell>
          <cell r="T126" t="str">
            <v/>
          </cell>
          <cell r="U126" t="str">
            <v/>
          </cell>
          <cell r="V126" t="str">
            <v/>
          </cell>
          <cell r="W126" t="str">
            <v/>
          </cell>
          <cell r="X126" t="str">
            <v>Thiết kế thiếu</v>
          </cell>
          <cell r="Y126" t="e">
            <v>#N/A</v>
          </cell>
        </row>
        <row r="127">
          <cell r="A127" t="str">
            <v>101</v>
          </cell>
          <cell r="B127">
            <v>125</v>
          </cell>
          <cell r="C127" t="str">
            <v/>
          </cell>
          <cell r="D127"/>
          <cell r="E127"/>
          <cell r="F127"/>
          <cell r="G127">
            <v>0</v>
          </cell>
          <cell r="H127">
            <v>0</v>
          </cell>
          <cell r="I127">
            <v>0</v>
          </cell>
          <cell r="J127">
            <v>0</v>
          </cell>
          <cell r="K127"/>
          <cell r="L127" t="str">
            <v xml:space="preserve">  </v>
          </cell>
          <cell r="M127" t="str">
            <v xml:space="preserve">  </v>
          </cell>
          <cell r="N127" t="str">
            <v/>
          </cell>
          <cell r="O127" t="str">
            <v/>
          </cell>
          <cell r="P127" t="str">
            <v xml:space="preserve">  </v>
          </cell>
          <cell r="Q127">
            <v>0</v>
          </cell>
          <cell r="R127" t="str">
            <v/>
          </cell>
          <cell r="S127">
            <v>9</v>
          </cell>
          <cell r="T127" t="str">
            <v/>
          </cell>
          <cell r="U127" t="str">
            <v/>
          </cell>
          <cell r="V127" t="str">
            <v/>
          </cell>
          <cell r="W127" t="str">
            <v/>
          </cell>
          <cell r="X127" t="str">
            <v>Thiết kế thiếu</v>
          </cell>
          <cell r="Y127" t="e">
            <v>#N/A</v>
          </cell>
        </row>
        <row r="128">
          <cell r="A128" t="str">
            <v>102</v>
          </cell>
          <cell r="B128">
            <v>126</v>
          </cell>
          <cell r="C128" t="str">
            <v/>
          </cell>
          <cell r="D128"/>
          <cell r="E128"/>
          <cell r="F128"/>
          <cell r="G128">
            <v>0</v>
          </cell>
          <cell r="H128">
            <v>0</v>
          </cell>
          <cell r="I128">
            <v>0</v>
          </cell>
          <cell r="J128">
            <v>0</v>
          </cell>
          <cell r="K128"/>
          <cell r="L128" t="str">
            <v xml:space="preserve">  </v>
          </cell>
          <cell r="M128" t="str">
            <v xml:space="preserve">  </v>
          </cell>
          <cell r="N128" t="str">
            <v/>
          </cell>
          <cell r="O128" t="str">
            <v/>
          </cell>
          <cell r="P128" t="str">
            <v xml:space="preserve">  </v>
          </cell>
          <cell r="Q128">
            <v>0</v>
          </cell>
          <cell r="R128" t="str">
            <v/>
          </cell>
          <cell r="S128">
            <v>9</v>
          </cell>
          <cell r="T128" t="str">
            <v/>
          </cell>
          <cell r="U128" t="str">
            <v/>
          </cell>
          <cell r="V128" t="str">
            <v/>
          </cell>
          <cell r="W128" t="str">
            <v/>
          </cell>
          <cell r="X128" t="str">
            <v>Thiết kế thiếu</v>
          </cell>
          <cell r="Y128" t="e">
            <v>#N/A</v>
          </cell>
        </row>
        <row r="129">
          <cell r="A129" t="str">
            <v>103</v>
          </cell>
          <cell r="B129">
            <v>127</v>
          </cell>
          <cell r="C129" t="str">
            <v/>
          </cell>
          <cell r="D129"/>
          <cell r="E129"/>
          <cell r="F129"/>
          <cell r="G129">
            <v>0</v>
          </cell>
          <cell r="H129">
            <v>0</v>
          </cell>
          <cell r="I129">
            <v>0</v>
          </cell>
          <cell r="J129">
            <v>0</v>
          </cell>
          <cell r="K129"/>
          <cell r="L129" t="str">
            <v xml:space="preserve">  </v>
          </cell>
          <cell r="M129" t="str">
            <v xml:space="preserve">  </v>
          </cell>
          <cell r="N129" t="str">
            <v/>
          </cell>
          <cell r="O129" t="str">
            <v/>
          </cell>
          <cell r="P129" t="str">
            <v xml:space="preserve">  </v>
          </cell>
          <cell r="Q129">
            <v>0</v>
          </cell>
          <cell r="R129" t="str">
            <v/>
          </cell>
          <cell r="S129">
            <v>9</v>
          </cell>
          <cell r="T129" t="str">
            <v/>
          </cell>
          <cell r="U129" t="str">
            <v/>
          </cell>
          <cell r="V129" t="str">
            <v/>
          </cell>
          <cell r="W129" t="str">
            <v/>
          </cell>
          <cell r="X129" t="str">
            <v>Thiết kế thiếu</v>
          </cell>
          <cell r="Y129" t="e">
            <v>#N/A</v>
          </cell>
        </row>
        <row r="130">
          <cell r="A130" t="str">
            <v>104</v>
          </cell>
          <cell r="B130">
            <v>128</v>
          </cell>
          <cell r="C130" t="str">
            <v/>
          </cell>
          <cell r="D130"/>
          <cell r="E130"/>
          <cell r="F130"/>
          <cell r="G130">
            <v>0</v>
          </cell>
          <cell r="H130">
            <v>0</v>
          </cell>
          <cell r="I130">
            <v>0</v>
          </cell>
          <cell r="J130">
            <v>0</v>
          </cell>
          <cell r="K130"/>
          <cell r="L130" t="str">
            <v xml:space="preserve">  </v>
          </cell>
          <cell r="M130" t="str">
            <v xml:space="preserve">  </v>
          </cell>
          <cell r="N130" t="str">
            <v/>
          </cell>
          <cell r="O130" t="str">
            <v/>
          </cell>
          <cell r="P130" t="str">
            <v xml:space="preserve">  </v>
          </cell>
          <cell r="Q130">
            <v>0</v>
          </cell>
          <cell r="R130" t="str">
            <v/>
          </cell>
          <cell r="S130">
            <v>9</v>
          </cell>
          <cell r="T130" t="str">
            <v/>
          </cell>
          <cell r="U130" t="str">
            <v/>
          </cell>
          <cell r="V130" t="str">
            <v/>
          </cell>
          <cell r="W130" t="str">
            <v/>
          </cell>
          <cell r="X130" t="str">
            <v>Thiết kế thiếu</v>
          </cell>
          <cell r="Y130" t="e">
            <v>#N/A</v>
          </cell>
        </row>
        <row r="131">
          <cell r="A131" t="str">
            <v>105</v>
          </cell>
          <cell r="B131">
            <v>129</v>
          </cell>
          <cell r="C131" t="str">
            <v/>
          </cell>
          <cell r="D131"/>
          <cell r="E131"/>
          <cell r="F131"/>
          <cell r="G131">
            <v>0</v>
          </cell>
          <cell r="H131">
            <v>0</v>
          </cell>
          <cell r="I131">
            <v>0</v>
          </cell>
          <cell r="J131">
            <v>0</v>
          </cell>
          <cell r="K131"/>
          <cell r="L131" t="str">
            <v xml:space="preserve">  </v>
          </cell>
          <cell r="M131" t="str">
            <v xml:space="preserve">  </v>
          </cell>
          <cell r="N131" t="str">
            <v/>
          </cell>
          <cell r="O131" t="str">
            <v/>
          </cell>
          <cell r="P131" t="str">
            <v xml:space="preserve">  </v>
          </cell>
          <cell r="Q131">
            <v>0</v>
          </cell>
          <cell r="R131" t="str">
            <v/>
          </cell>
          <cell r="S131">
            <v>9</v>
          </cell>
          <cell r="T131" t="str">
            <v/>
          </cell>
          <cell r="U131" t="str">
            <v/>
          </cell>
          <cell r="V131" t="str">
            <v/>
          </cell>
          <cell r="W131" t="str">
            <v/>
          </cell>
          <cell r="X131" t="str">
            <v>Thiết kế thiếu</v>
          </cell>
          <cell r="Y131" t="e">
            <v>#N/A</v>
          </cell>
        </row>
        <row r="132">
          <cell r="A132" t="str">
            <v>106</v>
          </cell>
          <cell r="B132">
            <v>130</v>
          </cell>
          <cell r="C132" t="str">
            <v/>
          </cell>
          <cell r="D132"/>
          <cell r="E132"/>
          <cell r="F132"/>
          <cell r="G132">
            <v>0</v>
          </cell>
          <cell r="H132">
            <v>0</v>
          </cell>
          <cell r="I132">
            <v>0</v>
          </cell>
          <cell r="J132">
            <v>0</v>
          </cell>
          <cell r="K132"/>
          <cell r="L132" t="str">
            <v xml:space="preserve">  </v>
          </cell>
          <cell r="M132" t="str">
            <v xml:space="preserve">  </v>
          </cell>
          <cell r="N132" t="str">
            <v/>
          </cell>
          <cell r="O132" t="str">
            <v/>
          </cell>
          <cell r="P132" t="str">
            <v xml:space="preserve">  </v>
          </cell>
          <cell r="Q132">
            <v>0</v>
          </cell>
          <cell r="R132" t="str">
            <v/>
          </cell>
          <cell r="S132">
            <v>9</v>
          </cell>
          <cell r="T132" t="str">
            <v/>
          </cell>
          <cell r="U132" t="str">
            <v/>
          </cell>
          <cell r="V132" t="str">
            <v/>
          </cell>
          <cell r="W132" t="str">
            <v/>
          </cell>
          <cell r="X132" t="str">
            <v>Thiết kế thiếu</v>
          </cell>
          <cell r="Y132" t="e">
            <v>#N/A</v>
          </cell>
        </row>
        <row r="133">
          <cell r="A133" t="str">
            <v>107</v>
          </cell>
          <cell r="B133">
            <v>131</v>
          </cell>
          <cell r="C133" t="str">
            <v/>
          </cell>
          <cell r="D133"/>
          <cell r="E133"/>
          <cell r="F133"/>
          <cell r="G133">
            <v>0</v>
          </cell>
          <cell r="H133">
            <v>0</v>
          </cell>
          <cell r="I133">
            <v>0</v>
          </cell>
          <cell r="J133">
            <v>0</v>
          </cell>
          <cell r="K133"/>
          <cell r="L133" t="str">
            <v xml:space="preserve">  </v>
          </cell>
          <cell r="M133" t="str">
            <v xml:space="preserve">  </v>
          </cell>
          <cell r="N133" t="str">
            <v/>
          </cell>
          <cell r="O133" t="str">
            <v/>
          </cell>
          <cell r="P133" t="str">
            <v xml:space="preserve">  </v>
          </cell>
          <cell r="Q133">
            <v>0</v>
          </cell>
          <cell r="R133" t="str">
            <v/>
          </cell>
          <cell r="S133">
            <v>9</v>
          </cell>
          <cell r="T133" t="str">
            <v/>
          </cell>
          <cell r="U133" t="str">
            <v/>
          </cell>
          <cell r="V133" t="str">
            <v/>
          </cell>
          <cell r="W133" t="str">
            <v/>
          </cell>
          <cell r="X133" t="str">
            <v>Thiết kế thiếu</v>
          </cell>
          <cell r="Y133" t="e">
            <v>#N/A</v>
          </cell>
        </row>
        <row r="134">
          <cell r="A134" t="str">
            <v>108</v>
          </cell>
          <cell r="B134">
            <v>132</v>
          </cell>
          <cell r="C134" t="str">
            <v/>
          </cell>
          <cell r="D134"/>
          <cell r="E134"/>
          <cell r="F134"/>
          <cell r="G134">
            <v>0</v>
          </cell>
          <cell r="H134">
            <v>0</v>
          </cell>
          <cell r="I134">
            <v>0</v>
          </cell>
          <cell r="J134">
            <v>0</v>
          </cell>
          <cell r="K134"/>
          <cell r="L134" t="str">
            <v xml:space="preserve">  </v>
          </cell>
          <cell r="M134" t="str">
            <v xml:space="preserve">  </v>
          </cell>
          <cell r="N134" t="str">
            <v/>
          </cell>
          <cell r="O134" t="str">
            <v/>
          </cell>
          <cell r="P134" t="str">
            <v xml:space="preserve">  </v>
          </cell>
          <cell r="Q134">
            <v>0</v>
          </cell>
          <cell r="R134" t="str">
            <v/>
          </cell>
          <cell r="S134">
            <v>9</v>
          </cell>
          <cell r="T134" t="str">
            <v/>
          </cell>
          <cell r="U134" t="str">
            <v/>
          </cell>
          <cell r="V134" t="str">
            <v/>
          </cell>
          <cell r="W134" t="str">
            <v/>
          </cell>
          <cell r="X134" t="str">
            <v>Thiết kế thiếu</v>
          </cell>
          <cell r="Y134" t="e">
            <v>#N/A</v>
          </cell>
        </row>
        <row r="135">
          <cell r="A135" t="str">
            <v>109</v>
          </cell>
          <cell r="B135">
            <v>133</v>
          </cell>
          <cell r="C135" t="str">
            <v/>
          </cell>
          <cell r="D135"/>
          <cell r="E135"/>
          <cell r="F135"/>
          <cell r="G135">
            <v>0</v>
          </cell>
          <cell r="H135">
            <v>0</v>
          </cell>
          <cell r="I135">
            <v>0</v>
          </cell>
          <cell r="J135">
            <v>0</v>
          </cell>
          <cell r="K135"/>
          <cell r="L135" t="str">
            <v xml:space="preserve">  </v>
          </cell>
          <cell r="M135" t="str">
            <v xml:space="preserve">  </v>
          </cell>
          <cell r="N135" t="str">
            <v/>
          </cell>
          <cell r="O135" t="str">
            <v/>
          </cell>
          <cell r="P135" t="str">
            <v xml:space="preserve">  </v>
          </cell>
          <cell r="Q135">
            <v>0</v>
          </cell>
          <cell r="R135" t="str">
            <v/>
          </cell>
          <cell r="S135">
            <v>9</v>
          </cell>
          <cell r="T135" t="str">
            <v/>
          </cell>
          <cell r="U135" t="str">
            <v/>
          </cell>
          <cell r="V135" t="str">
            <v/>
          </cell>
          <cell r="W135" t="str">
            <v/>
          </cell>
          <cell r="X135" t="str">
            <v>Thiết kế thiếu</v>
          </cell>
          <cell r="Y135" t="e">
            <v>#N/A</v>
          </cell>
        </row>
        <row r="136">
          <cell r="A136" t="str">
            <v>110</v>
          </cell>
          <cell r="B136">
            <v>134</v>
          </cell>
          <cell r="C136" t="str">
            <v/>
          </cell>
          <cell r="D136"/>
          <cell r="E136"/>
          <cell r="F136"/>
          <cell r="G136">
            <v>0</v>
          </cell>
          <cell r="H136">
            <v>0</v>
          </cell>
          <cell r="I136">
            <v>0</v>
          </cell>
          <cell r="J136">
            <v>0</v>
          </cell>
          <cell r="K136"/>
          <cell r="L136" t="str">
            <v xml:space="preserve">  </v>
          </cell>
          <cell r="M136" t="str">
            <v xml:space="preserve">  </v>
          </cell>
          <cell r="N136" t="str">
            <v/>
          </cell>
          <cell r="O136" t="str">
            <v/>
          </cell>
          <cell r="P136" t="str">
            <v xml:space="preserve">  </v>
          </cell>
          <cell r="Q136">
            <v>0</v>
          </cell>
          <cell r="R136" t="str">
            <v/>
          </cell>
          <cell r="S136">
            <v>9</v>
          </cell>
          <cell r="T136" t="str">
            <v/>
          </cell>
          <cell r="U136" t="str">
            <v/>
          </cell>
          <cell r="V136" t="str">
            <v/>
          </cell>
          <cell r="W136" t="str">
            <v/>
          </cell>
          <cell r="X136" t="str">
            <v>Thiết kế thiếu</v>
          </cell>
          <cell r="Y136" t="e">
            <v>#N/A</v>
          </cell>
        </row>
        <row r="137">
          <cell r="A137" t="str">
            <v>111</v>
          </cell>
          <cell r="B137">
            <v>135</v>
          </cell>
          <cell r="C137" t="str">
            <v/>
          </cell>
          <cell r="D137"/>
          <cell r="E137"/>
          <cell r="F137"/>
          <cell r="G137">
            <v>0</v>
          </cell>
          <cell r="H137">
            <v>0</v>
          </cell>
          <cell r="I137">
            <v>0</v>
          </cell>
          <cell r="J137">
            <v>0</v>
          </cell>
          <cell r="K137"/>
          <cell r="L137" t="str">
            <v xml:space="preserve">  </v>
          </cell>
          <cell r="M137" t="str">
            <v xml:space="preserve">  </v>
          </cell>
          <cell r="N137" t="str">
            <v/>
          </cell>
          <cell r="O137" t="str">
            <v/>
          </cell>
          <cell r="P137" t="str">
            <v xml:space="preserve">  </v>
          </cell>
          <cell r="Q137">
            <v>0</v>
          </cell>
          <cell r="R137" t="str">
            <v/>
          </cell>
          <cell r="S137">
            <v>9</v>
          </cell>
          <cell r="T137" t="str">
            <v/>
          </cell>
          <cell r="U137" t="str">
            <v/>
          </cell>
          <cell r="V137" t="str">
            <v/>
          </cell>
          <cell r="W137" t="str">
            <v/>
          </cell>
          <cell r="X137" t="str">
            <v>Thiết kế thiếu</v>
          </cell>
          <cell r="Y137" t="e">
            <v>#N/A</v>
          </cell>
        </row>
        <row r="138">
          <cell r="A138" t="str">
            <v>112</v>
          </cell>
          <cell r="B138">
            <v>136</v>
          </cell>
          <cell r="C138" t="str">
            <v/>
          </cell>
          <cell r="D138"/>
          <cell r="E138"/>
          <cell r="F138"/>
          <cell r="G138">
            <v>0</v>
          </cell>
          <cell r="H138">
            <v>0</v>
          </cell>
          <cell r="I138">
            <v>0</v>
          </cell>
          <cell r="J138">
            <v>0</v>
          </cell>
          <cell r="K138"/>
          <cell r="L138" t="str">
            <v xml:space="preserve">  </v>
          </cell>
          <cell r="M138" t="str">
            <v xml:space="preserve">  </v>
          </cell>
          <cell r="N138" t="str">
            <v/>
          </cell>
          <cell r="O138" t="str">
            <v/>
          </cell>
          <cell r="P138" t="str">
            <v xml:space="preserve">  </v>
          </cell>
          <cell r="Q138">
            <v>0</v>
          </cell>
          <cell r="R138" t="str">
            <v/>
          </cell>
          <cell r="S138">
            <v>9</v>
          </cell>
          <cell r="T138" t="str">
            <v/>
          </cell>
          <cell r="U138" t="str">
            <v/>
          </cell>
          <cell r="V138" t="str">
            <v/>
          </cell>
          <cell r="W138" t="str">
            <v/>
          </cell>
          <cell r="X138" t="str">
            <v>Thiết kế thiếu</v>
          </cell>
          <cell r="Y138" t="e">
            <v>#N/A</v>
          </cell>
        </row>
        <row r="139">
          <cell r="A139" t="str">
            <v>113</v>
          </cell>
          <cell r="B139">
            <v>137</v>
          </cell>
          <cell r="C139" t="str">
            <v/>
          </cell>
          <cell r="D139"/>
          <cell r="E139"/>
          <cell r="F139"/>
          <cell r="G139">
            <v>0</v>
          </cell>
          <cell r="H139">
            <v>0</v>
          </cell>
          <cell r="I139">
            <v>0</v>
          </cell>
          <cell r="J139">
            <v>0</v>
          </cell>
          <cell r="K139"/>
          <cell r="L139" t="str">
            <v xml:space="preserve">  </v>
          </cell>
          <cell r="M139" t="str">
            <v xml:space="preserve">  </v>
          </cell>
          <cell r="N139" t="str">
            <v/>
          </cell>
          <cell r="O139" t="str">
            <v/>
          </cell>
          <cell r="P139" t="str">
            <v xml:space="preserve">  </v>
          </cell>
          <cell r="Q139">
            <v>0</v>
          </cell>
          <cell r="R139" t="str">
            <v/>
          </cell>
          <cell r="S139">
            <v>9</v>
          </cell>
          <cell r="T139" t="str">
            <v/>
          </cell>
          <cell r="U139" t="str">
            <v/>
          </cell>
          <cell r="V139" t="str">
            <v/>
          </cell>
          <cell r="W139" t="str">
            <v/>
          </cell>
          <cell r="X139" t="str">
            <v>Thiết kế thiếu</v>
          </cell>
          <cell r="Y139" t="e">
            <v>#N/A</v>
          </cell>
        </row>
        <row r="140">
          <cell r="A140" t="str">
            <v>114</v>
          </cell>
          <cell r="B140">
            <v>138</v>
          </cell>
          <cell r="C140" t="str">
            <v/>
          </cell>
          <cell r="D140"/>
          <cell r="E140"/>
          <cell r="F140"/>
          <cell r="G140">
            <v>0</v>
          </cell>
          <cell r="H140">
            <v>0</v>
          </cell>
          <cell r="I140">
            <v>0</v>
          </cell>
          <cell r="J140">
            <v>0</v>
          </cell>
          <cell r="K140"/>
          <cell r="L140" t="str">
            <v xml:space="preserve">  </v>
          </cell>
          <cell r="M140" t="str">
            <v xml:space="preserve">  </v>
          </cell>
          <cell r="N140" t="str">
            <v/>
          </cell>
          <cell r="O140" t="str">
            <v/>
          </cell>
          <cell r="P140" t="str">
            <v xml:space="preserve">  </v>
          </cell>
          <cell r="Q140">
            <v>0</v>
          </cell>
          <cell r="R140" t="str">
            <v/>
          </cell>
          <cell r="S140">
            <v>9</v>
          </cell>
          <cell r="T140" t="str">
            <v/>
          </cell>
          <cell r="U140" t="str">
            <v/>
          </cell>
          <cell r="V140" t="str">
            <v/>
          </cell>
          <cell r="W140" t="str">
            <v/>
          </cell>
          <cell r="X140"/>
          <cell r="Y140" t="e">
            <v>#N/A</v>
          </cell>
        </row>
        <row r="141">
          <cell r="A141" t="str">
            <v>115</v>
          </cell>
          <cell r="B141">
            <v>139</v>
          </cell>
          <cell r="C141" t="str">
            <v/>
          </cell>
          <cell r="D141"/>
          <cell r="E141"/>
          <cell r="F141"/>
          <cell r="G141">
            <v>0</v>
          </cell>
          <cell r="H141">
            <v>0</v>
          </cell>
          <cell r="I141">
            <v>0</v>
          </cell>
          <cell r="J141">
            <v>0</v>
          </cell>
          <cell r="K141"/>
          <cell r="L141" t="str">
            <v xml:space="preserve">  </v>
          </cell>
          <cell r="M141" t="str">
            <v xml:space="preserve">  </v>
          </cell>
          <cell r="N141" t="str">
            <v/>
          </cell>
          <cell r="O141" t="str">
            <v/>
          </cell>
          <cell r="P141" t="str">
            <v xml:space="preserve">  </v>
          </cell>
          <cell r="Q141">
            <v>0</v>
          </cell>
          <cell r="R141" t="str">
            <v/>
          </cell>
          <cell r="S141">
            <v>9</v>
          </cell>
          <cell r="T141" t="str">
            <v/>
          </cell>
          <cell r="U141" t="str">
            <v/>
          </cell>
          <cell r="V141" t="str">
            <v/>
          </cell>
          <cell r="W141" t="str">
            <v/>
          </cell>
          <cell r="X141"/>
          <cell r="Y141" t="e">
            <v>#N/A</v>
          </cell>
        </row>
        <row r="142">
          <cell r="A142" t="str">
            <v>116</v>
          </cell>
          <cell r="B142">
            <v>140</v>
          </cell>
          <cell r="C142" t="str">
            <v/>
          </cell>
          <cell r="D142"/>
          <cell r="E142"/>
          <cell r="F142"/>
          <cell r="G142">
            <v>0</v>
          </cell>
          <cell r="H142">
            <v>0</v>
          </cell>
          <cell r="I142">
            <v>0</v>
          </cell>
          <cell r="J142">
            <v>0</v>
          </cell>
          <cell r="K142"/>
          <cell r="L142" t="str">
            <v xml:space="preserve">  </v>
          </cell>
          <cell r="M142" t="str">
            <v xml:space="preserve">  </v>
          </cell>
          <cell r="N142" t="str">
            <v/>
          </cell>
          <cell r="O142" t="str">
            <v/>
          </cell>
          <cell r="P142" t="str">
            <v xml:space="preserve">  </v>
          </cell>
          <cell r="Q142">
            <v>0</v>
          </cell>
          <cell r="R142" t="str">
            <v/>
          </cell>
          <cell r="S142">
            <v>9</v>
          </cell>
          <cell r="T142" t="str">
            <v/>
          </cell>
          <cell r="U142" t="str">
            <v/>
          </cell>
          <cell r="V142" t="str">
            <v/>
          </cell>
          <cell r="W142" t="str">
            <v/>
          </cell>
          <cell r="X142"/>
          <cell r="Y142" t="e">
            <v>#N/A</v>
          </cell>
        </row>
        <row r="143">
          <cell r="A143" t="str">
            <v>117</v>
          </cell>
          <cell r="B143">
            <v>141</v>
          </cell>
          <cell r="C143" t="str">
            <v/>
          </cell>
          <cell r="D143"/>
          <cell r="E143"/>
          <cell r="F143"/>
          <cell r="G143">
            <v>0</v>
          </cell>
          <cell r="H143">
            <v>0</v>
          </cell>
          <cell r="I143">
            <v>0</v>
          </cell>
          <cell r="J143">
            <v>0</v>
          </cell>
          <cell r="K143"/>
          <cell r="L143"/>
          <cell r="M143"/>
          <cell r="N143" t="str">
            <v/>
          </cell>
          <cell r="O143" t="str">
            <v/>
          </cell>
          <cell r="P143" t="str">
            <v xml:space="preserve">  </v>
          </cell>
          <cell r="Q143">
            <v>0</v>
          </cell>
          <cell r="R143" t="str">
            <v/>
          </cell>
          <cell r="S143">
            <v>9</v>
          </cell>
          <cell r="T143" t="str">
            <v/>
          </cell>
          <cell r="U143" t="str">
            <v/>
          </cell>
          <cell r="V143" t="str">
            <v/>
          </cell>
          <cell r="W143" t="str">
            <v/>
          </cell>
          <cell r="X143"/>
          <cell r="Y143" t="e">
            <v>#N/A</v>
          </cell>
        </row>
        <row r="144">
          <cell r="A144" t="str">
            <v>118</v>
          </cell>
          <cell r="B144">
            <v>142</v>
          </cell>
          <cell r="C144" t="str">
            <v/>
          </cell>
          <cell r="D144"/>
          <cell r="E144"/>
          <cell r="F144"/>
          <cell r="G144">
            <v>0</v>
          </cell>
          <cell r="H144">
            <v>0</v>
          </cell>
          <cell r="I144">
            <v>0</v>
          </cell>
          <cell r="J144">
            <v>0</v>
          </cell>
          <cell r="K144"/>
          <cell r="L144"/>
          <cell r="M144"/>
          <cell r="N144" t="str">
            <v/>
          </cell>
          <cell r="O144" t="str">
            <v/>
          </cell>
          <cell r="P144" t="str">
            <v xml:space="preserve">  </v>
          </cell>
          <cell r="Q144">
            <v>0</v>
          </cell>
          <cell r="R144" t="str">
            <v/>
          </cell>
          <cell r="S144">
            <v>9</v>
          </cell>
          <cell r="T144" t="str">
            <v/>
          </cell>
          <cell r="U144" t="str">
            <v/>
          </cell>
          <cell r="V144" t="str">
            <v/>
          </cell>
          <cell r="W144" t="str">
            <v/>
          </cell>
          <cell r="X144"/>
          <cell r="Y144" t="e">
            <v>#N/A</v>
          </cell>
        </row>
        <row r="145">
          <cell r="A145" t="str">
            <v>119</v>
          </cell>
          <cell r="B145">
            <v>143</v>
          </cell>
          <cell r="C145" t="str">
            <v/>
          </cell>
          <cell r="D145"/>
          <cell r="E145"/>
          <cell r="F145"/>
          <cell r="G145">
            <v>0</v>
          </cell>
          <cell r="H145">
            <v>0</v>
          </cell>
          <cell r="I145">
            <v>0</v>
          </cell>
          <cell r="J145">
            <v>0</v>
          </cell>
          <cell r="K145"/>
          <cell r="L145"/>
          <cell r="M145"/>
          <cell r="N145" t="str">
            <v/>
          </cell>
          <cell r="O145" t="str">
            <v/>
          </cell>
          <cell r="P145" t="str">
            <v xml:space="preserve">  </v>
          </cell>
          <cell r="Q145">
            <v>0</v>
          </cell>
          <cell r="R145" t="str">
            <v/>
          </cell>
          <cell r="S145">
            <v>9</v>
          </cell>
          <cell r="T145" t="str">
            <v/>
          </cell>
          <cell r="U145" t="str">
            <v/>
          </cell>
          <cell r="V145" t="str">
            <v/>
          </cell>
          <cell r="W145" t="str">
            <v/>
          </cell>
          <cell r="X145"/>
          <cell r="Y145" t="e">
            <v>#N/A</v>
          </cell>
        </row>
        <row r="146">
          <cell r="B146">
            <v>144</v>
          </cell>
          <cell r="C146" t="str">
            <v/>
          </cell>
          <cell r="D146"/>
          <cell r="E146"/>
          <cell r="F146"/>
          <cell r="G146">
            <v>0</v>
          </cell>
          <cell r="H146">
            <v>0</v>
          </cell>
          <cell r="I146">
            <v>0</v>
          </cell>
          <cell r="J146">
            <v>0</v>
          </cell>
          <cell r="K146"/>
          <cell r="L146"/>
          <cell r="M146"/>
          <cell r="N146" t="str">
            <v/>
          </cell>
          <cell r="O146" t="str">
            <v/>
          </cell>
          <cell r="P146" t="str">
            <v xml:space="preserve">  </v>
          </cell>
          <cell r="Q146">
            <v>0</v>
          </cell>
          <cell r="R146" t="str">
            <v/>
          </cell>
          <cell r="S146">
            <v>9</v>
          </cell>
          <cell r="T146" t="str">
            <v/>
          </cell>
          <cell r="U146" t="str">
            <v/>
          </cell>
          <cell r="V146" t="str">
            <v/>
          </cell>
          <cell r="W146" t="str">
            <v/>
          </cell>
          <cell r="X146"/>
          <cell r="Y146" t="e">
            <v>#N/A</v>
          </cell>
        </row>
        <row r="147">
          <cell r="B147">
            <v>145</v>
          </cell>
          <cell r="C147" t="str">
            <v/>
          </cell>
          <cell r="D147"/>
          <cell r="E147"/>
          <cell r="F147"/>
          <cell r="G147">
            <v>0</v>
          </cell>
          <cell r="H147">
            <v>0</v>
          </cell>
          <cell r="I147">
            <v>0</v>
          </cell>
          <cell r="J147">
            <v>0</v>
          </cell>
          <cell r="K147"/>
          <cell r="L147"/>
          <cell r="M147"/>
          <cell r="N147" t="str">
            <v/>
          </cell>
          <cell r="O147" t="str">
            <v/>
          </cell>
          <cell r="P147" t="str">
            <v xml:space="preserve">  </v>
          </cell>
          <cell r="Q147">
            <v>0</v>
          </cell>
          <cell r="R147" t="str">
            <v/>
          </cell>
          <cell r="S147">
            <v>9</v>
          </cell>
          <cell r="T147" t="str">
            <v/>
          </cell>
          <cell r="U147" t="str">
            <v/>
          </cell>
          <cell r="V147" t="str">
            <v/>
          </cell>
          <cell r="W147" t="str">
            <v/>
          </cell>
          <cell r="X147"/>
          <cell r="Y147" t="e">
            <v>#N/A</v>
          </cell>
        </row>
        <row r="148">
          <cell r="B148">
            <v>146</v>
          </cell>
          <cell r="C148" t="str">
            <v/>
          </cell>
          <cell r="D148"/>
          <cell r="E148"/>
          <cell r="F148"/>
          <cell r="G148">
            <v>0</v>
          </cell>
          <cell r="H148">
            <v>0</v>
          </cell>
          <cell r="I148">
            <v>0</v>
          </cell>
          <cell r="J148">
            <v>0</v>
          </cell>
          <cell r="K148"/>
          <cell r="L148"/>
          <cell r="M148"/>
          <cell r="N148" t="str">
            <v/>
          </cell>
          <cell r="O148" t="str">
            <v/>
          </cell>
          <cell r="P148" t="str">
            <v xml:space="preserve">  </v>
          </cell>
          <cell r="Q148">
            <v>0</v>
          </cell>
          <cell r="R148" t="str">
            <v/>
          </cell>
          <cell r="S148">
            <v>9</v>
          </cell>
          <cell r="T148" t="str">
            <v/>
          </cell>
          <cell r="U148" t="str">
            <v/>
          </cell>
          <cell r="V148" t="str">
            <v/>
          </cell>
          <cell r="W148" t="str">
            <v/>
          </cell>
          <cell r="X148"/>
          <cell r="Y148" t="e">
            <v>#N/A</v>
          </cell>
        </row>
      </sheetData>
      <sheetData sheetId="4">
        <row r="1">
          <cell r="B1" t="str">
            <v>STT</v>
          </cell>
        </row>
        <row r="2">
          <cell r="J2">
            <v>9</v>
          </cell>
          <cell r="K2">
            <v>10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iso"/>
    </sheetNames>
    <definedNames>
      <definedName name="vnd"/>
    </defined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D"/>
      <sheetName val="Solieu"/>
      <sheetName val="CT_tram"/>
      <sheetName val="DonGiaHD"/>
      <sheetName val="ChiTietDuToan"/>
      <sheetName val="BangKeTruDoc"/>
      <sheetName val="bkt-DuToan"/>
      <sheetName val="function"/>
      <sheetName val="BCTienDo"/>
      <sheetName val="chitiet"/>
      <sheetName val="DG"/>
      <sheetName val="kl3pct"/>
      <sheetName val="klHTHH"/>
      <sheetName val="pp_NC"/>
      <sheetName val="pp3p2m "/>
      <sheetName val="pp1p"/>
      <sheetName val="PPHTCS"/>
      <sheetName val="klHTDL"/>
      <sheetName val="ppht NC"/>
      <sheetName val="ppht"/>
      <sheetName val="pp3p1m"/>
      <sheetName val="kl3p1m"/>
      <sheetName val="kl1p"/>
      <sheetName val="KTCT"/>
      <sheetName val="TongHopKL"/>
      <sheetName val="NT-VT"/>
      <sheetName val="B_CAP"/>
      <sheetName val="PL-1"/>
      <sheetName val="PL-2"/>
      <sheetName val="PL-3"/>
      <sheetName val="PL-4"/>
      <sheetName val="chonCB"/>
      <sheetName val="2Mong"/>
      <sheetName val="03Tru"/>
      <sheetName val="4BT"/>
      <sheetName val="5Neo"/>
      <sheetName val="06PK"/>
      <sheetName val="7day"/>
      <sheetName val="8TB"/>
      <sheetName val="9TD"/>
      <sheetName val="10DN"/>
      <sheetName val="NK"/>
    </sheetNames>
    <sheetDataSet>
      <sheetData sheetId="0">
        <row r="2">
          <cell r="W2" t="str">
            <v>Nâng cấp đường dây trung thế từ recloser Xuân Bắc đến LBS khí Chế Biến tuyến 480 Xuân Bắc</v>
          </cell>
          <cell r="Y2" t="str">
            <v>Huyện Xuân Lộc - Tỉnh Đồng Nai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95">
          <cell r="DJ95">
            <v>0</v>
          </cell>
          <cell r="DO95">
            <v>0</v>
          </cell>
          <cell r="DP95">
            <v>0</v>
          </cell>
          <cell r="DQ95">
            <v>0</v>
          </cell>
          <cell r="DR95">
            <v>0</v>
          </cell>
          <cell r="DS95">
            <v>0</v>
          </cell>
          <cell r="DU95">
            <v>0</v>
          </cell>
          <cell r="DV95">
            <v>0</v>
          </cell>
          <cell r="EC95">
            <v>0</v>
          </cell>
        </row>
        <row r="182">
          <cell r="EM182">
            <v>0</v>
          </cell>
          <cell r="EN182">
            <v>0</v>
          </cell>
        </row>
        <row r="184">
          <cell r="BP184">
            <v>0</v>
          </cell>
          <cell r="DF184">
            <v>0</v>
          </cell>
          <cell r="DG184">
            <v>0</v>
          </cell>
          <cell r="DH184">
            <v>0</v>
          </cell>
          <cell r="DK184">
            <v>0</v>
          </cell>
          <cell r="DM184">
            <v>0</v>
          </cell>
          <cell r="DN184">
            <v>0</v>
          </cell>
          <cell r="DW184">
            <v>0</v>
          </cell>
          <cell r="DY184">
            <v>0</v>
          </cell>
          <cell r="DZ184">
            <v>0</v>
          </cell>
          <cell r="EA184">
            <v>0</v>
          </cell>
          <cell r="ED184">
            <v>0</v>
          </cell>
          <cell r="EF184">
            <v>0</v>
          </cell>
          <cell r="EG184">
            <v>0</v>
          </cell>
          <cell r="EH184">
            <v>0</v>
          </cell>
          <cell r="EJ184">
            <v>0</v>
          </cell>
          <cell r="GT184">
            <v>0</v>
          </cell>
        </row>
        <row r="199">
          <cell r="C199">
            <v>0</v>
          </cell>
        </row>
        <row r="200">
          <cell r="P200">
            <v>0</v>
          </cell>
        </row>
      </sheetData>
      <sheetData sheetId="14">
        <row r="81">
          <cell r="EE81" t="str">
            <v>KD50</v>
          </cell>
          <cell r="EF81" t="str">
            <v>KD70</v>
          </cell>
          <cell r="EG81" t="str">
            <v>KD95</v>
          </cell>
          <cell r="EH81" t="str">
            <v>KD120</v>
          </cell>
          <cell r="EI81" t="str">
            <v>KD150</v>
          </cell>
          <cell r="EJ81" t="str">
            <v>KD185</v>
          </cell>
          <cell r="EK81" t="str">
            <v>KD240</v>
          </cell>
        </row>
        <row r="84">
          <cell r="C84">
            <v>0</v>
          </cell>
        </row>
        <row r="86">
          <cell r="C86">
            <v>0</v>
          </cell>
        </row>
      </sheetData>
      <sheetData sheetId="15">
        <row r="90">
          <cell r="AV90">
            <v>0</v>
          </cell>
          <cell r="BN90">
            <v>0</v>
          </cell>
          <cell r="BO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0</v>
          </cell>
          <cell r="CK90">
            <v>0</v>
          </cell>
          <cell r="CL90">
            <v>0</v>
          </cell>
          <cell r="CM90">
            <v>0</v>
          </cell>
          <cell r="CN90">
            <v>0</v>
          </cell>
          <cell r="CP90">
            <v>0</v>
          </cell>
          <cell r="CQ90">
            <v>0</v>
          </cell>
        </row>
        <row r="94">
          <cell r="C94">
            <v>0</v>
          </cell>
        </row>
        <row r="97">
          <cell r="C97">
            <v>0</v>
          </cell>
        </row>
      </sheetData>
      <sheetData sheetId="16">
        <row r="69">
          <cell r="Z69">
            <v>0</v>
          </cell>
          <cell r="AA69">
            <v>0</v>
          </cell>
          <cell r="AB69">
            <v>0</v>
          </cell>
          <cell r="AD69">
            <v>0</v>
          </cell>
          <cell r="AO69">
            <v>0</v>
          </cell>
          <cell r="AP69">
            <v>0</v>
          </cell>
          <cell r="BB69">
            <v>0</v>
          </cell>
          <cell r="BE69">
            <v>0</v>
          </cell>
          <cell r="BH69">
            <v>0</v>
          </cell>
          <cell r="BI69">
            <v>0</v>
          </cell>
          <cell r="BJ69">
            <v>0</v>
          </cell>
          <cell r="BK69">
            <v>0</v>
          </cell>
          <cell r="BL69">
            <v>0</v>
          </cell>
        </row>
        <row r="74">
          <cell r="C74">
            <v>0</v>
          </cell>
        </row>
        <row r="75">
          <cell r="C75">
            <v>0</v>
          </cell>
        </row>
        <row r="76">
          <cell r="C76">
            <v>0</v>
          </cell>
        </row>
        <row r="77">
          <cell r="C77">
            <v>0</v>
          </cell>
        </row>
      </sheetData>
      <sheetData sheetId="17" refreshError="1"/>
      <sheetData sheetId="18"/>
      <sheetData sheetId="19">
        <row r="338">
          <cell r="S338">
            <v>0</v>
          </cell>
          <cell r="BF338">
            <v>0</v>
          </cell>
          <cell r="BY338">
            <v>0</v>
          </cell>
          <cell r="BZ338">
            <v>0</v>
          </cell>
          <cell r="CA338">
            <v>0</v>
          </cell>
          <cell r="CB338">
            <v>0</v>
          </cell>
          <cell r="CC338">
            <v>0</v>
          </cell>
          <cell r="CD338">
            <v>0</v>
          </cell>
          <cell r="CE338">
            <v>0</v>
          </cell>
          <cell r="CF338">
            <v>0</v>
          </cell>
          <cell r="CH338">
            <v>0</v>
          </cell>
          <cell r="CK338">
            <v>0</v>
          </cell>
          <cell r="CL338">
            <v>0</v>
          </cell>
          <cell r="CM338">
            <v>0</v>
          </cell>
          <cell r="CN338">
            <v>0</v>
          </cell>
          <cell r="CO338">
            <v>0</v>
          </cell>
          <cell r="CP338">
            <v>0</v>
          </cell>
          <cell r="CQ338">
            <v>0</v>
          </cell>
          <cell r="CV338">
            <v>0</v>
          </cell>
          <cell r="CW338">
            <v>0</v>
          </cell>
          <cell r="CX338">
            <v>0</v>
          </cell>
          <cell r="DA338">
            <v>0</v>
          </cell>
          <cell r="DB338">
            <v>0</v>
          </cell>
          <cell r="DC338">
            <v>0</v>
          </cell>
          <cell r="DD338">
            <v>0</v>
          </cell>
          <cell r="DE338">
            <v>0</v>
          </cell>
          <cell r="DF338">
            <v>0</v>
          </cell>
          <cell r="DG338">
            <v>0</v>
          </cell>
          <cell r="DH338">
            <v>0</v>
          </cell>
          <cell r="DJ338">
            <v>0</v>
          </cell>
          <cell r="DL338">
            <v>0</v>
          </cell>
          <cell r="DM338">
            <v>0</v>
          </cell>
          <cell r="DO338">
            <v>0</v>
          </cell>
        </row>
        <row r="342">
          <cell r="AD342">
            <v>0</v>
          </cell>
          <cell r="CR342">
            <v>0</v>
          </cell>
          <cell r="CS342">
            <v>0</v>
          </cell>
          <cell r="CU342">
            <v>0</v>
          </cell>
          <cell r="CY342">
            <v>0</v>
          </cell>
          <cell r="CZ342">
            <v>0</v>
          </cell>
          <cell r="DJ342">
            <v>0</v>
          </cell>
          <cell r="DK342">
            <v>0</v>
          </cell>
          <cell r="DQ342">
            <v>0</v>
          </cell>
          <cell r="DR342">
            <v>0</v>
          </cell>
          <cell r="DU342">
            <v>0</v>
          </cell>
        </row>
        <row r="347">
          <cell r="C347">
            <v>0</v>
          </cell>
        </row>
      </sheetData>
      <sheetData sheetId="20">
        <row r="111">
          <cell r="B111">
            <v>0</v>
          </cell>
          <cell r="DZ111">
            <v>0</v>
          </cell>
          <cell r="EB111">
            <v>0</v>
          </cell>
          <cell r="EC111">
            <v>0</v>
          </cell>
          <cell r="EG111">
            <v>0</v>
          </cell>
          <cell r="EN111">
            <v>0</v>
          </cell>
          <cell r="EY111">
            <v>0</v>
          </cell>
          <cell r="EZ111">
            <v>0</v>
          </cell>
          <cell r="FD111">
            <v>0</v>
          </cell>
          <cell r="FU111">
            <v>0</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J2211"/>
  <sheetViews>
    <sheetView showZeros="0" zoomScale="85" zoomScaleNormal="85" workbookViewId="0">
      <pane ySplit="10" topLeftCell="A278" activePane="bottomLeft" state="frozen"/>
      <selection activeCell="Q2336" sqref="Q2336"/>
      <selection pane="bottomLeft" activeCell="B282" sqref="B282"/>
    </sheetView>
  </sheetViews>
  <sheetFormatPr defaultColWidth="8.90625" defaultRowHeight="13.2" outlineLevelRow="2"/>
  <cols>
    <col min="1" max="1" width="5.08984375" style="304" customWidth="1"/>
    <col min="2" max="2" width="9.26953125" style="289" customWidth="1"/>
    <col min="3" max="3" width="4.90625" style="290" customWidth="1"/>
    <col min="4" max="4" width="9.81640625" style="291" customWidth="1"/>
    <col min="5" max="5" width="48.36328125" style="453" customWidth="1"/>
    <col min="6" max="6" width="7.54296875" style="291" customWidth="1"/>
    <col min="7" max="7" width="7.08984375" style="294" customWidth="1"/>
    <col min="8" max="8" width="10" style="291" customWidth="1"/>
    <col min="9" max="11" width="10" style="295" customWidth="1"/>
    <col min="12" max="12" width="9.90625" style="295" customWidth="1"/>
    <col min="13" max="13" width="10.6328125" style="302" customWidth="1"/>
    <col min="14" max="14" width="6" style="302" customWidth="1"/>
    <col min="15" max="15" width="6" style="303" customWidth="1"/>
    <col min="16" max="16" width="7.453125" style="295" customWidth="1"/>
    <col min="17" max="16384" width="8.90625" style="295"/>
  </cols>
  <sheetData>
    <row r="1" spans="1:16" hidden="1" outlineLevel="1">
      <c r="A1" s="288"/>
      <c r="B1" s="289">
        <v>1</v>
      </c>
      <c r="E1" s="292" t="s">
        <v>424</v>
      </c>
      <c r="F1" s="293">
        <v>1.5</v>
      </c>
      <c r="M1" s="295"/>
      <c r="N1" s="295"/>
      <c r="O1" s="295"/>
    </row>
    <row r="2" spans="1:16" hidden="1" outlineLevel="1">
      <c r="A2" s="288"/>
      <c r="B2" s="289">
        <v>0</v>
      </c>
      <c r="E2" s="292" t="s">
        <v>425</v>
      </c>
      <c r="F2" s="293">
        <v>1.7</v>
      </c>
      <c r="M2" s="295"/>
      <c r="N2" s="295"/>
      <c r="O2" s="295"/>
    </row>
    <row r="3" spans="1:16" ht="16.5" hidden="1" customHeight="1" outlineLevel="1">
      <c r="A3" s="288"/>
      <c r="E3" s="292" t="s">
        <v>426</v>
      </c>
      <c r="F3" s="293">
        <v>0.7</v>
      </c>
      <c r="M3" s="295"/>
      <c r="N3" s="295"/>
      <c r="O3" s="295"/>
    </row>
    <row r="4" spans="1:16" hidden="1" outlineLevel="1">
      <c r="A4" s="288"/>
      <c r="E4" s="292" t="s">
        <v>427</v>
      </c>
      <c r="F4" s="293">
        <v>0.7</v>
      </c>
      <c r="M4" s="295"/>
      <c r="N4" s="295"/>
      <c r="O4" s="295"/>
    </row>
    <row r="5" spans="1:16" hidden="1" outlineLevel="1">
      <c r="A5" s="288"/>
      <c r="E5" s="292" t="s">
        <v>428</v>
      </c>
      <c r="F5" s="296">
        <v>3</v>
      </c>
      <c r="M5" s="295"/>
      <c r="N5" s="295"/>
      <c r="O5" s="295"/>
    </row>
    <row r="6" spans="1:16" ht="37.5" customHeight="1" collapsed="1">
      <c r="A6" s="297"/>
      <c r="D6" s="298" t="s">
        <v>429</v>
      </c>
      <c r="E6" s="299"/>
      <c r="F6" s="299"/>
      <c r="G6" s="300"/>
      <c r="H6" s="299"/>
      <c r="I6" s="301"/>
      <c r="J6" s="301"/>
      <c r="K6" s="301"/>
      <c r="L6" s="301"/>
    </row>
    <row r="7" spans="1:16" ht="21.75" customHeight="1">
      <c r="D7" s="305" t="str">
        <f>"Công trình: "&amp;[3]WORD!W2</f>
        <v>Công trình: Nâng cấp đường dây trung thế từ recloser Xuân Bắc đến LBS khí Chế Biến tuyến 480 Xuân Bắc</v>
      </c>
      <c r="E7" s="299"/>
      <c r="F7" s="306"/>
      <c r="G7" s="307"/>
      <c r="H7" s="306"/>
      <c r="I7" s="306"/>
      <c r="J7" s="306"/>
      <c r="K7" s="306"/>
      <c r="L7" s="306"/>
    </row>
    <row r="8" spans="1:16" ht="18.75" customHeight="1">
      <c r="D8" s="308" t="str">
        <f>"Địa điểm: "&amp;[3]WORD!Y2</f>
        <v>Địa điểm: Huyện Xuân Lộc - Tỉnh Đồng Nai</v>
      </c>
      <c r="E8" s="299"/>
      <c r="F8" s="299"/>
      <c r="G8" s="300"/>
      <c r="H8" s="299"/>
      <c r="I8" s="301"/>
      <c r="J8" s="301"/>
      <c r="K8" s="301"/>
      <c r="L8" s="301"/>
    </row>
    <row r="9" spans="1:16" ht="21" customHeight="1">
      <c r="B9" s="309" t="s">
        <v>430</v>
      </c>
      <c r="C9" s="310" t="s">
        <v>28</v>
      </c>
      <c r="D9" s="311" t="s">
        <v>431</v>
      </c>
      <c r="E9" s="312" t="s">
        <v>432</v>
      </c>
      <c r="F9" s="312" t="s">
        <v>433</v>
      </c>
      <c r="G9" s="313" t="s">
        <v>434</v>
      </c>
      <c r="H9" s="314" t="s">
        <v>435</v>
      </c>
      <c r="I9" s="315"/>
      <c r="J9" s="316"/>
      <c r="K9" s="317"/>
      <c r="L9" s="318" t="s">
        <v>87</v>
      </c>
    </row>
    <row r="10" spans="1:16" ht="30.6" customHeight="1">
      <c r="B10" s="319"/>
      <c r="C10" s="310" t="s">
        <v>28</v>
      </c>
      <c r="D10" s="311" t="s">
        <v>436</v>
      </c>
      <c r="E10" s="320"/>
      <c r="F10" s="320"/>
      <c r="G10" s="321" t="s">
        <v>90</v>
      </c>
      <c r="H10" s="311" t="s">
        <v>437</v>
      </c>
      <c r="I10" s="311" t="s">
        <v>439</v>
      </c>
      <c r="J10" s="322" t="s">
        <v>440</v>
      </c>
      <c r="K10" s="322" t="s">
        <v>441</v>
      </c>
      <c r="L10" s="323"/>
      <c r="M10" s="592"/>
      <c r="N10" s="324"/>
      <c r="O10" s="325"/>
      <c r="P10" s="325"/>
    </row>
    <row r="11" spans="1:16" ht="13.5" customHeight="1">
      <c r="A11" s="288"/>
      <c r="B11" s="326"/>
      <c r="C11" s="327"/>
      <c r="D11" s="328">
        <v>1</v>
      </c>
      <c r="E11" s="329">
        <v>2</v>
      </c>
      <c r="F11" s="328">
        <v>3</v>
      </c>
      <c r="G11" s="330">
        <v>4</v>
      </c>
      <c r="H11" s="331"/>
      <c r="I11" s="332"/>
      <c r="J11" s="332"/>
      <c r="K11" s="332"/>
      <c r="L11" s="332"/>
      <c r="M11" s="332"/>
      <c r="N11" s="332"/>
      <c r="O11" s="332"/>
    </row>
    <row r="12" spans="1:16" ht="13.5" customHeight="1">
      <c r="A12" s="288">
        <v>1</v>
      </c>
      <c r="B12" s="326">
        <v>2</v>
      </c>
      <c r="C12" s="327"/>
      <c r="D12" s="333">
        <v>4</v>
      </c>
      <c r="E12" s="334">
        <v>5</v>
      </c>
      <c r="F12" s="333">
        <v>6</v>
      </c>
      <c r="G12" s="335">
        <v>7</v>
      </c>
      <c r="H12" s="333">
        <v>8</v>
      </c>
      <c r="I12" s="332"/>
      <c r="J12" s="332"/>
      <c r="K12" s="332"/>
      <c r="L12" s="332"/>
      <c r="M12" s="332"/>
      <c r="N12" s="332"/>
      <c r="O12" s="332"/>
    </row>
    <row r="13" spans="1:16" ht="16.2">
      <c r="A13" s="342" t="s">
        <v>596</v>
      </c>
      <c r="B13" s="343" t="s">
        <v>596</v>
      </c>
      <c r="C13" s="344" t="str">
        <f>IF(OR(I13&lt;&gt;0,H13&lt;&gt;0),"x"," ")</f>
        <v xml:space="preserve"> </v>
      </c>
      <c r="D13" s="345"/>
      <c r="E13" s="346" t="s">
        <v>597</v>
      </c>
      <c r="F13" s="347" t="s">
        <v>285</v>
      </c>
      <c r="G13" s="348"/>
      <c r="H13" s="349">
        <f>IFERROR(HLOOKUP(B13,'BKT-ThuHoi'!$5:$183,179,0),0)</f>
        <v>0</v>
      </c>
      <c r="I13" s="350">
        <f>H13+J13-K13</f>
        <v>0</v>
      </c>
      <c r="J13" s="350"/>
      <c r="K13" s="350"/>
      <c r="L13" s="350"/>
      <c r="M13" s="332"/>
      <c r="N13" s="340"/>
      <c r="O13" s="341"/>
    </row>
    <row r="14" spans="1:16" ht="16.2" outlineLevel="1">
      <c r="A14" s="288"/>
      <c r="B14" s="351" t="s">
        <v>598</v>
      </c>
      <c r="C14" s="352" t="str">
        <f>IF(OR(I14&lt;&gt;0,H14&lt;&gt;0),"x"," ")</f>
        <v xml:space="preserve"> </v>
      </c>
      <c r="D14" s="338"/>
      <c r="E14" s="358" t="str">
        <f>VLOOKUP($B14,DG!A:D,DG!$C$2,)</f>
        <v>Cáp đồng trần M25mm2</v>
      </c>
      <c r="F14" s="338" t="str">
        <f>VLOOKUP($B14,DG!A:D,DG!$D$2,)</f>
        <v>kg</v>
      </c>
      <c r="G14" s="357">
        <v>3.36</v>
      </c>
      <c r="H14" s="380">
        <f>H$13*$G14</f>
        <v>0</v>
      </c>
      <c r="I14" s="380">
        <f>$I$13*G14</f>
        <v>0</v>
      </c>
      <c r="J14" s="360"/>
      <c r="K14" s="360"/>
      <c r="L14" s="360"/>
      <c r="M14" s="332"/>
      <c r="N14" s="340"/>
      <c r="O14" s="341"/>
    </row>
    <row r="15" spans="1:16" ht="16.2" outlineLevel="1">
      <c r="A15" s="288"/>
      <c r="B15" s="351" t="s">
        <v>599</v>
      </c>
      <c r="C15" s="352" t="str">
        <f>IF(OR(I15&lt;&gt;0,H15&lt;&gt;0),"x"," ")</f>
        <v xml:space="preserve"> </v>
      </c>
      <c r="D15" s="338"/>
      <c r="E15" s="358" t="str">
        <f>VLOOKUP($B15,DG!A:D,DG!$C$2,)</f>
        <v>Cọc tiếp đất Ø 16- 2,4m + kẹp cọc</v>
      </c>
      <c r="F15" s="338" t="str">
        <f>VLOOKUP($B15,DG!A:D,DG!$D$2,)</f>
        <v>bộ</v>
      </c>
      <c r="G15" s="359">
        <v>1</v>
      </c>
      <c r="H15" s="360">
        <f>H$13*$G15</f>
        <v>0</v>
      </c>
      <c r="I15" s="360">
        <f>$I$13*G15</f>
        <v>0</v>
      </c>
      <c r="J15" s="360"/>
      <c r="K15" s="360"/>
      <c r="L15" s="360"/>
      <c r="M15" s="332"/>
      <c r="N15" s="340"/>
      <c r="O15" s="341"/>
    </row>
    <row r="16" spans="1:16" ht="16.2" outlineLevel="1">
      <c r="A16" s="288"/>
      <c r="B16" s="351" t="s">
        <v>600</v>
      </c>
      <c r="C16" s="352" t="str">
        <f>IF(OR(I16&lt;&gt;0,H16&lt;&gt;0),"x"," ")</f>
        <v xml:space="preserve"> </v>
      </c>
      <c r="D16" s="338"/>
      <c r="E16" s="358" t="s">
        <v>601</v>
      </c>
      <c r="F16" s="338" t="str">
        <f>VLOOKUP($B16,DG!A:D,DG!$D$2,)</f>
        <v>cái</v>
      </c>
      <c r="G16" s="359">
        <v>0</v>
      </c>
      <c r="H16" s="360">
        <f>H$13*$G16</f>
        <v>0</v>
      </c>
      <c r="I16" s="360"/>
      <c r="J16" s="360"/>
      <c r="K16" s="360"/>
      <c r="L16" s="360"/>
      <c r="M16" s="332"/>
      <c r="N16" s="340"/>
      <c r="O16" s="341"/>
    </row>
    <row r="17" spans="1:15" ht="16.2" outlineLevel="1">
      <c r="A17" s="288"/>
      <c r="B17" s="351" t="s">
        <v>602</v>
      </c>
      <c r="C17" s="352" t="str">
        <f>IF(OR(I17&lt;&gt;0,H17&lt;&gt;0),"x"," ")</f>
        <v xml:space="preserve"> </v>
      </c>
      <c r="D17" s="338" t="str">
        <f>VLOOKUP($B17,DG!A:D,DG!$B$2,)</f>
        <v>05.7001</v>
      </c>
      <c r="E17" s="366" t="str">
        <f>VLOOKUP($B17,DG!A:D,DG!$C$2,)</f>
        <v xml:space="preserve">Kéo dây tiếp địa </v>
      </c>
      <c r="F17" s="338" t="str">
        <f>VLOOKUP($B17,DG!A:D,DG!$D$2,)</f>
        <v>mét</v>
      </c>
      <c r="G17" s="357">
        <f>G14</f>
        <v>3.36</v>
      </c>
      <c r="H17" s="360">
        <f>H$13*$G17</f>
        <v>0</v>
      </c>
      <c r="I17" s="380">
        <f>$I$13*G17</f>
        <v>0</v>
      </c>
      <c r="J17" s="354"/>
      <c r="K17" s="354"/>
      <c r="L17" s="354"/>
      <c r="M17" s="332"/>
      <c r="N17" s="340"/>
      <c r="O17" s="341"/>
    </row>
    <row r="18" spans="1:15" ht="16.2" outlineLevel="1">
      <c r="A18" s="288"/>
      <c r="B18" s="351" t="s">
        <v>603</v>
      </c>
      <c r="C18" s="352" t="str">
        <f>IF(OR(I18&lt;&gt;0,H18&lt;&gt;0),"x"," ")</f>
        <v xml:space="preserve"> </v>
      </c>
      <c r="D18" s="338" t="str">
        <f>VLOOKUP($B18,DG!A:D,DG!$B$2,)</f>
        <v>05.8103</v>
      </c>
      <c r="E18" s="366" t="str">
        <f>VLOOKUP($B18,DG!A:D,DG!$C$2,)</f>
        <v>Đóng cọc tiếp địa đất cấp 3</v>
      </c>
      <c r="F18" s="338" t="str">
        <f>VLOOKUP($B18,DG!A:D,DG!$D$2,)</f>
        <v>cọc</v>
      </c>
      <c r="G18" s="359">
        <v>1</v>
      </c>
      <c r="H18" s="360">
        <f>H$13*$G18</f>
        <v>0</v>
      </c>
      <c r="I18" s="360">
        <f>$I$13*G18</f>
        <v>0</v>
      </c>
      <c r="J18" s="360"/>
      <c r="K18" s="360"/>
      <c r="L18" s="360"/>
      <c r="M18" s="332"/>
      <c r="N18" s="340"/>
      <c r="O18" s="341"/>
    </row>
    <row r="19" spans="1:15" ht="16.2" outlineLevel="1">
      <c r="A19" s="288"/>
      <c r="B19" s="351" t="s">
        <v>604</v>
      </c>
      <c r="C19" s="352" t="str">
        <f>IF(OR(I19&lt;&gt;0,H19&lt;&gt;0),"x"," ")</f>
        <v xml:space="preserve"> </v>
      </c>
      <c r="D19" s="338" t="str">
        <f>VLOOKUP($B19,DG!A:D,DG!$B$2,)</f>
        <v>02.1120</v>
      </c>
      <c r="E19" s="366" t="str">
        <f>VLOOKUP($B19,DG!A:D,DG!$C$2,)</f>
        <v>Bốc dỡ phụ kiện</v>
      </c>
      <c r="F19" s="338" t="str">
        <f>VLOOKUP($B19,DG!A:D,DG!$D$2,)</f>
        <v>tấn</v>
      </c>
      <c r="G19" s="353"/>
      <c r="H19" s="360"/>
      <c r="I19" s="360"/>
      <c r="J19" s="360"/>
      <c r="K19" s="360"/>
      <c r="L19" s="360"/>
      <c r="M19" s="332"/>
      <c r="N19" s="340"/>
      <c r="O19" s="341"/>
    </row>
    <row r="20" spans="1:15" ht="16.2" outlineLevel="1">
      <c r="A20" s="288"/>
      <c r="B20" s="356" t="s">
        <v>605</v>
      </c>
      <c r="C20" s="352" t="str">
        <f>IF(OR(I20&lt;&gt;0,H20&lt;&gt;0),"x"," ")</f>
        <v xml:space="preserve"> </v>
      </c>
      <c r="D20" s="338" t="str">
        <f>VLOOKUP($B20,DG!A:C,2,)</f>
        <v>02.1351</v>
      </c>
      <c r="E20" s="366" t="str">
        <f>VLOOKUP($B20,DG!A:C,3,)</f>
        <v>V/c tiếp địa vào vị trí ( cự ly &lt;=100m)</v>
      </c>
      <c r="F20" s="338" t="str">
        <f>VLOOKUP($B20,DG!A:D,4,0)</f>
        <v>tấn</v>
      </c>
      <c r="G20" s="353"/>
      <c r="H20" s="354"/>
      <c r="I20" s="354"/>
      <c r="J20" s="354"/>
      <c r="K20" s="354"/>
      <c r="L20" s="354"/>
      <c r="M20" s="332"/>
      <c r="N20" s="340"/>
      <c r="O20" s="341"/>
    </row>
    <row r="21" spans="1:15" ht="16.2" outlineLevel="1">
      <c r="A21" s="342" t="s">
        <v>606</v>
      </c>
      <c r="B21" s="343" t="s">
        <v>606</v>
      </c>
      <c r="C21" s="344" t="str">
        <f>IF(OR(I21&lt;&gt;0,H21&lt;&gt;0),"x"," ")</f>
        <v xml:space="preserve"> </v>
      </c>
      <c r="D21" s="345"/>
      <c r="E21" s="346" t="s">
        <v>607</v>
      </c>
      <c r="F21" s="347" t="s">
        <v>285</v>
      </c>
      <c r="G21" s="348"/>
      <c r="H21" s="349">
        <f>IFERROR(HLOOKUP(B21,'BKT-ThuHoi'!$5:$183,179,0),0)</f>
        <v>0</v>
      </c>
      <c r="I21" s="350"/>
      <c r="J21" s="350"/>
      <c r="K21" s="350"/>
      <c r="L21" s="350"/>
      <c r="M21" s="332"/>
      <c r="N21" s="340"/>
      <c r="O21" s="341"/>
    </row>
    <row r="22" spans="1:15" ht="16.2" outlineLevel="1">
      <c r="A22" s="288"/>
      <c r="B22" s="351" t="s">
        <v>598</v>
      </c>
      <c r="C22" s="352" t="str">
        <f>IF(OR(I22&lt;&gt;0,H22&lt;&gt;0),"x"," ")</f>
        <v xml:space="preserve"> </v>
      </c>
      <c r="D22" s="338"/>
      <c r="E22" s="358" t="str">
        <f>VLOOKUP($B22,DG!A:D,DG!$C$2,)&amp;" : 9m"</f>
        <v>Cáp đồng trần M25mm2 : 9m</v>
      </c>
      <c r="F22" s="338" t="str">
        <f>VLOOKUP($B22,DG!A:D,DG!$D$2,)</f>
        <v>kg</v>
      </c>
      <c r="G22" s="357">
        <f>9*0.224</f>
        <v>2.016</v>
      </c>
      <c r="H22" s="360">
        <f>H$21*$G22</f>
        <v>0</v>
      </c>
      <c r="I22" s="360"/>
      <c r="J22" s="360"/>
      <c r="K22" s="360"/>
      <c r="L22" s="360"/>
      <c r="M22" s="332"/>
      <c r="N22" s="340"/>
      <c r="O22" s="341"/>
    </row>
    <row r="23" spans="1:15" ht="16.2" outlineLevel="1">
      <c r="A23" s="288"/>
      <c r="B23" s="351" t="s">
        <v>599</v>
      </c>
      <c r="C23" s="352" t="str">
        <f>IF(OR(I23&lt;&gt;0,H23&lt;&gt;0),"x"," ")</f>
        <v xml:space="preserve"> </v>
      </c>
      <c r="D23" s="338"/>
      <c r="E23" s="358" t="str">
        <f>VLOOKUP($B23,DG!A:D,DG!$C$2,)</f>
        <v>Cọc tiếp đất Ø 16- 2,4m + kẹp cọc</v>
      </c>
      <c r="F23" s="338" t="str">
        <f>VLOOKUP($B23,DG!A:D,DG!$D$2,)</f>
        <v>bộ</v>
      </c>
      <c r="G23" s="359">
        <v>1</v>
      </c>
      <c r="H23" s="360">
        <f>H$21*$G23</f>
        <v>0</v>
      </c>
      <c r="I23" s="360"/>
      <c r="J23" s="360"/>
      <c r="K23" s="360"/>
      <c r="L23" s="360"/>
      <c r="M23" s="332"/>
      <c r="N23" s="340"/>
      <c r="O23" s="341"/>
    </row>
    <row r="24" spans="1:15" ht="16.2" outlineLevel="1">
      <c r="A24" s="288"/>
      <c r="B24" s="351" t="s">
        <v>608</v>
      </c>
      <c r="C24" s="352" t="str">
        <f>IF(OR(I24&lt;&gt;0,H24&lt;&gt;0),"x"," ")</f>
        <v xml:space="preserve"> </v>
      </c>
      <c r="D24" s="338"/>
      <c r="E24" s="358" t="str">
        <f>VLOOKUP($B24,DG!A:D,DG!$C$2,)</f>
        <v>Kẹp ép WR cỡ dây 50mm2</v>
      </c>
      <c r="F24" s="338" t="str">
        <f>VLOOKUP($B24,DG!A:D,DG!$D$2,)</f>
        <v>cái</v>
      </c>
      <c r="G24" s="359">
        <v>2</v>
      </c>
      <c r="H24" s="360">
        <f>H$21*$G24</f>
        <v>0</v>
      </c>
      <c r="I24" s="360"/>
      <c r="J24" s="360"/>
      <c r="K24" s="360"/>
      <c r="L24" s="360"/>
      <c r="M24" s="332"/>
      <c r="N24" s="340"/>
      <c r="O24" s="341"/>
    </row>
    <row r="25" spans="1:15" ht="16.2" outlineLevel="1">
      <c r="A25" s="288"/>
      <c r="B25" s="351" t="s">
        <v>609</v>
      </c>
      <c r="C25" s="352" t="str">
        <f>IF(OR(I25&lt;&gt;0,H25&lt;&gt;0),"x"," ")</f>
        <v xml:space="preserve"> </v>
      </c>
      <c r="D25" s="338"/>
      <c r="E25" s="358" t="str">
        <f>VLOOKUP($B25,DG!A:D,DG!$C$2,)</f>
        <v>Đầu cosse ép Cu 25mm2</v>
      </c>
      <c r="F25" s="338" t="str">
        <f>VLOOKUP($B25,DG!A:D,DG!$D$2,)</f>
        <v>cái</v>
      </c>
      <c r="G25" s="359">
        <v>2</v>
      </c>
      <c r="H25" s="360"/>
      <c r="I25" s="360"/>
      <c r="J25" s="360"/>
      <c r="K25" s="360"/>
      <c r="L25" s="360"/>
      <c r="M25" s="332"/>
      <c r="N25" s="340"/>
      <c r="O25" s="341"/>
    </row>
    <row r="26" spans="1:15" ht="16.2" outlineLevel="1">
      <c r="A26" s="288"/>
      <c r="B26" s="351" t="s">
        <v>610</v>
      </c>
      <c r="C26" s="352" t="str">
        <f>IF(OR(I26&lt;&gt;0,H26&lt;&gt;0),"x"," ")</f>
        <v xml:space="preserve"> </v>
      </c>
      <c r="D26" s="338"/>
      <c r="E26" s="358" t="str">
        <f>VLOOKUP($B26,DG!A:D,DG!$C$2,)</f>
        <v>Boulon 12x40</v>
      </c>
      <c r="F26" s="338" t="str">
        <f>VLOOKUP($B26,DG!A:D,DG!$D$2,)</f>
        <v>bộ</v>
      </c>
      <c r="G26" s="359">
        <v>1</v>
      </c>
      <c r="H26" s="360"/>
      <c r="I26" s="360"/>
      <c r="J26" s="360"/>
      <c r="K26" s="360"/>
      <c r="L26" s="360"/>
      <c r="M26" s="332"/>
      <c r="N26" s="340"/>
      <c r="O26" s="341"/>
    </row>
    <row r="27" spans="1:15" ht="16.2" outlineLevel="1">
      <c r="A27" s="288"/>
      <c r="B27" s="351" t="s">
        <v>602</v>
      </c>
      <c r="C27" s="352" t="str">
        <f>IF(OR(I27&lt;&gt;0,H27&lt;&gt;0),"x"," ")</f>
        <v xml:space="preserve"> </v>
      </c>
      <c r="D27" s="338" t="str">
        <f>VLOOKUP($B27,DG!A:D,DG!$B$2,)</f>
        <v>05.7001</v>
      </c>
      <c r="E27" s="366" t="str">
        <f>VLOOKUP($B27,DG!A:D,DG!$C$2,)</f>
        <v xml:space="preserve">Kéo dây tiếp địa </v>
      </c>
      <c r="F27" s="338" t="str">
        <f>VLOOKUP($B27,DG!A:D,DG!$D$2,)</f>
        <v>mét</v>
      </c>
      <c r="G27" s="357">
        <f>G22</f>
        <v>2.016</v>
      </c>
      <c r="H27" s="354"/>
      <c r="I27" s="354"/>
      <c r="J27" s="354"/>
      <c r="K27" s="354"/>
      <c r="L27" s="354"/>
      <c r="M27" s="332"/>
      <c r="N27" s="340"/>
      <c r="O27" s="341"/>
    </row>
    <row r="28" spans="1:15" ht="16.2" outlineLevel="1">
      <c r="A28" s="288"/>
      <c r="B28" s="351" t="s">
        <v>603</v>
      </c>
      <c r="C28" s="352" t="str">
        <f>IF(OR(I28&lt;&gt;0,H28&lt;&gt;0),"x"," ")</f>
        <v xml:space="preserve"> </v>
      </c>
      <c r="D28" s="338" t="str">
        <f>VLOOKUP($B28,DG!A:D,DG!$B$2,)</f>
        <v>05.8103</v>
      </c>
      <c r="E28" s="366" t="str">
        <f>VLOOKUP($B28,DG!A:D,DG!$C$2,)</f>
        <v>Đóng cọc tiếp địa đất cấp 3</v>
      </c>
      <c r="F28" s="338" t="str">
        <f>VLOOKUP($B28,DG!A:D,DG!$D$2,)</f>
        <v>cọc</v>
      </c>
      <c r="G28" s="359">
        <v>1</v>
      </c>
      <c r="H28" s="360"/>
      <c r="I28" s="360"/>
      <c r="J28" s="360"/>
      <c r="K28" s="360"/>
      <c r="L28" s="360"/>
      <c r="M28" s="332"/>
      <c r="N28" s="340"/>
      <c r="O28" s="341"/>
    </row>
    <row r="29" spans="1:15" ht="16.2" outlineLevel="1">
      <c r="A29" s="288"/>
      <c r="B29" s="351" t="s">
        <v>604</v>
      </c>
      <c r="C29" s="352" t="str">
        <f>IF(OR(I29&lt;&gt;0,H29&lt;&gt;0),"x"," ")</f>
        <v xml:space="preserve"> </v>
      </c>
      <c r="D29" s="338" t="str">
        <f>VLOOKUP($B29,DG!A:D,DG!$B$2,)</f>
        <v>02.1120</v>
      </c>
      <c r="E29" s="366" t="str">
        <f>VLOOKUP($B29,DG!A:D,DG!$C$2,)</f>
        <v>Bốc dỡ phụ kiện</v>
      </c>
      <c r="F29" s="338" t="str">
        <f>VLOOKUP($B29,DG!A:D,DG!$D$2,)</f>
        <v>tấn</v>
      </c>
      <c r="G29" s="353"/>
      <c r="H29" s="360"/>
      <c r="I29" s="360"/>
      <c r="J29" s="360"/>
      <c r="K29" s="360"/>
      <c r="L29" s="360"/>
      <c r="M29" s="332"/>
      <c r="N29" s="340"/>
      <c r="O29" s="341"/>
    </row>
    <row r="30" spans="1:15" ht="16.2" outlineLevel="1">
      <c r="A30" s="288"/>
      <c r="B30" s="356" t="s">
        <v>605</v>
      </c>
      <c r="C30" s="352" t="str">
        <f>IF(OR(I30&lt;&gt;0,H30&lt;&gt;0),"x"," ")</f>
        <v xml:space="preserve"> </v>
      </c>
      <c r="D30" s="338" t="str">
        <f>VLOOKUP($B30,DG!A:C,2,)</f>
        <v>02.1351</v>
      </c>
      <c r="E30" s="366" t="str">
        <f>VLOOKUP($B30,DG!A:C,3,)</f>
        <v>V/c tiếp địa vào vị trí ( cự ly &lt;=100m)</v>
      </c>
      <c r="F30" s="338" t="str">
        <f>VLOOKUP($B30,DG!A:D,4,0)</f>
        <v>tấn</v>
      </c>
      <c r="G30" s="353"/>
      <c r="H30" s="354"/>
      <c r="I30" s="354"/>
      <c r="J30" s="354"/>
      <c r="K30" s="354"/>
      <c r="L30" s="354"/>
      <c r="M30" s="332"/>
      <c r="N30" s="340"/>
      <c r="O30" s="341"/>
    </row>
    <row r="31" spans="1:15" ht="16.2" outlineLevel="1">
      <c r="A31" s="342" t="s">
        <v>611</v>
      </c>
      <c r="B31" s="343" t="s">
        <v>611</v>
      </c>
      <c r="C31" s="344" t="str">
        <f>IF(OR(I31&lt;&gt;0,H31&lt;&gt;0),"x"," ")</f>
        <v xml:space="preserve"> </v>
      </c>
      <c r="D31" s="345"/>
      <c r="E31" s="346" t="s">
        <v>612</v>
      </c>
      <c r="F31" s="347" t="s">
        <v>285</v>
      </c>
      <c r="G31" s="348"/>
      <c r="H31" s="349">
        <f>IFERROR(HLOOKUP(B31,'BKT-ThuHoi'!$5:$183,179,0),0)</f>
        <v>0</v>
      </c>
      <c r="I31" s="350">
        <f>H31+J31-K31</f>
        <v>0</v>
      </c>
      <c r="J31" s="350"/>
      <c r="K31" s="350"/>
      <c r="L31" s="350"/>
      <c r="M31" s="332"/>
      <c r="N31" s="340"/>
      <c r="O31" s="341"/>
    </row>
    <row r="32" spans="1:15" ht="16.2" outlineLevel="1">
      <c r="A32" s="288"/>
      <c r="B32" s="351" t="s">
        <v>598</v>
      </c>
      <c r="C32" s="352" t="str">
        <f>IF(OR(I32&lt;&gt;0,H32&lt;&gt;0),"x"," ")</f>
        <v xml:space="preserve"> </v>
      </c>
      <c r="D32" s="338"/>
      <c r="E32" s="358" t="str">
        <f>VLOOKUP($B32,DG!A:D,DG!$C$2,)&amp;" : 9m"</f>
        <v>Cáp đồng trần M25mm2 : 9m</v>
      </c>
      <c r="F32" s="338" t="str">
        <f>VLOOKUP($B32,DG!A:D,DG!$D$2,)</f>
        <v>kg</v>
      </c>
      <c r="G32" s="357">
        <f>9*0.224</f>
        <v>2.016</v>
      </c>
      <c r="H32" s="380">
        <f>H$31*$G32</f>
        <v>0</v>
      </c>
      <c r="I32" s="370">
        <f>H32+J32-K32</f>
        <v>0</v>
      </c>
      <c r="J32" s="380"/>
      <c r="K32" s="380"/>
      <c r="L32" s="380"/>
      <c r="M32" s="332"/>
      <c r="N32" s="340"/>
      <c r="O32" s="341"/>
    </row>
    <row r="33" spans="1:15" ht="16.2" outlineLevel="1">
      <c r="A33" s="288"/>
      <c r="B33" s="351" t="s">
        <v>599</v>
      </c>
      <c r="C33" s="352" t="str">
        <f>IF(OR(I33&lt;&gt;0,H33&lt;&gt;0),"x"," ")</f>
        <v xml:space="preserve"> </v>
      </c>
      <c r="D33" s="338"/>
      <c r="E33" s="358" t="str">
        <f>VLOOKUP($B33,DG!A:D,DG!$C$2,)</f>
        <v>Cọc tiếp đất Ø 16- 2,4m + kẹp cọc</v>
      </c>
      <c r="F33" s="338" t="str">
        <f>VLOOKUP($B33,DG!A:D,DG!$D$2,)</f>
        <v>bộ</v>
      </c>
      <c r="G33" s="359">
        <v>1</v>
      </c>
      <c r="H33" s="360">
        <f t="shared" ref="H33:H38" si="0">H$31*$G33</f>
        <v>0</v>
      </c>
      <c r="I33" s="350">
        <f>H33+J33-K33</f>
        <v>0</v>
      </c>
      <c r="J33" s="360"/>
      <c r="K33" s="360"/>
      <c r="L33" s="360"/>
      <c r="M33" s="332"/>
      <c r="N33" s="340"/>
      <c r="O33" s="341"/>
    </row>
    <row r="34" spans="1:15" ht="16.2" outlineLevel="1">
      <c r="A34" s="288"/>
      <c r="B34" s="351" t="s">
        <v>613</v>
      </c>
      <c r="C34" s="352" t="str">
        <f>IF(OR(I34&lt;&gt;0,H34&lt;&gt;0),"x"," ")</f>
        <v xml:space="preserve"> </v>
      </c>
      <c r="D34" s="338"/>
      <c r="E34" s="358" t="str">
        <f>VLOOKUP($B34,DG!A:D,DG!$C$2,)</f>
        <v>Ghíp nối IPC 95-25</v>
      </c>
      <c r="F34" s="338" t="str">
        <f>VLOOKUP($B34,DG!A:D,DG!$D$2,)</f>
        <v>cái</v>
      </c>
      <c r="G34" s="359">
        <v>1</v>
      </c>
      <c r="H34" s="360">
        <f t="shared" si="0"/>
        <v>0</v>
      </c>
      <c r="I34" s="350">
        <f>H34+J34-K34</f>
        <v>0</v>
      </c>
      <c r="J34" s="360"/>
      <c r="K34" s="360"/>
      <c r="L34" s="360"/>
      <c r="M34" s="332"/>
      <c r="N34" s="340"/>
      <c r="O34" s="341"/>
    </row>
    <row r="35" spans="1:15" ht="16.2" outlineLevel="1">
      <c r="A35" s="288"/>
      <c r="B35" s="351" t="s">
        <v>609</v>
      </c>
      <c r="C35" s="352" t="str">
        <f>IF(OR(I35&lt;&gt;0,H35&lt;&gt;0),"x"," ")</f>
        <v xml:space="preserve"> </v>
      </c>
      <c r="D35" s="338"/>
      <c r="E35" s="358" t="str">
        <f>VLOOKUP($B35,DG!A:D,DG!C$2,)</f>
        <v>Đầu cosse ép Cu 25mm2</v>
      </c>
      <c r="F35" s="338" t="str">
        <f>VLOOKUP($B35,DG!A:D,DG!$D$2,)</f>
        <v>cái</v>
      </c>
      <c r="G35" s="359"/>
      <c r="H35" s="360">
        <f t="shared" si="0"/>
        <v>0</v>
      </c>
      <c r="I35" s="360">
        <f>$I$31*G35</f>
        <v>0</v>
      </c>
      <c r="J35" s="360"/>
      <c r="K35" s="360"/>
      <c r="L35" s="360"/>
      <c r="M35" s="332"/>
      <c r="N35" s="340"/>
      <c r="O35" s="341"/>
    </row>
    <row r="36" spans="1:15" ht="16.2" outlineLevel="1">
      <c r="A36" s="288"/>
      <c r="B36" s="351" t="s">
        <v>610</v>
      </c>
      <c r="C36" s="352" t="str">
        <f>IF(OR(I36&lt;&gt;0,H36&lt;&gt;0),"x"," ")</f>
        <v xml:space="preserve"> </v>
      </c>
      <c r="D36" s="338"/>
      <c r="E36" s="358" t="str">
        <f>VLOOKUP($B36,DG!A:D,DG!C$2,)</f>
        <v>Boulon 12x40</v>
      </c>
      <c r="F36" s="338" t="str">
        <f>VLOOKUP($B36,DG!A:D,DG!$D$2,)</f>
        <v>bộ</v>
      </c>
      <c r="G36" s="359"/>
      <c r="H36" s="360">
        <f t="shared" si="0"/>
        <v>0</v>
      </c>
      <c r="I36" s="360">
        <f>$I$31*G36</f>
        <v>0</v>
      </c>
      <c r="J36" s="360"/>
      <c r="K36" s="360"/>
      <c r="L36" s="360"/>
      <c r="M36" s="332"/>
      <c r="N36" s="340"/>
      <c r="O36" s="341"/>
    </row>
    <row r="37" spans="1:15" ht="16.2" outlineLevel="1">
      <c r="A37" s="288"/>
      <c r="B37" s="351" t="s">
        <v>602</v>
      </c>
      <c r="C37" s="352" t="str">
        <f>IF(OR(I37&lt;&gt;0,H37&lt;&gt;0),"x"," ")</f>
        <v xml:space="preserve"> </v>
      </c>
      <c r="D37" s="338" t="str">
        <f>VLOOKUP($B37,DG!A:D,DG!$B$2,)</f>
        <v>05.7001</v>
      </c>
      <c r="E37" s="366" t="str">
        <f>VLOOKUP($B37,DG!A:D,DG!$C$2,)</f>
        <v xml:space="preserve">Kéo dây tiếp địa </v>
      </c>
      <c r="F37" s="381" t="s">
        <v>614</v>
      </c>
      <c r="G37" s="357">
        <f>G32</f>
        <v>2.016</v>
      </c>
      <c r="H37" s="360">
        <f t="shared" si="0"/>
        <v>0</v>
      </c>
      <c r="I37" s="350">
        <f>H37+J37-K37</f>
        <v>0</v>
      </c>
      <c r="J37" s="380"/>
      <c r="K37" s="380"/>
      <c r="L37" s="380"/>
      <c r="M37" s="332"/>
      <c r="N37" s="340"/>
      <c r="O37" s="341"/>
    </row>
    <row r="38" spans="1:15" ht="16.2" outlineLevel="1">
      <c r="A38" s="288"/>
      <c r="B38" s="351" t="s">
        <v>603</v>
      </c>
      <c r="C38" s="352" t="str">
        <f>IF(OR(I38&lt;&gt;0,H38&lt;&gt;0),"x"," ")</f>
        <v xml:space="preserve"> </v>
      </c>
      <c r="D38" s="338" t="str">
        <f>VLOOKUP($B38,DG!A:D,DG!$B$2,)</f>
        <v>05.8103</v>
      </c>
      <c r="E38" s="366" t="str">
        <f>VLOOKUP($B38,DG!A:D,DG!$C$2,)</f>
        <v>Đóng cọc tiếp địa đất cấp 3</v>
      </c>
      <c r="F38" s="338" t="str">
        <f>VLOOKUP($B38,DG!A:D,DG!$D$2,)</f>
        <v>cọc</v>
      </c>
      <c r="G38" s="359">
        <v>1</v>
      </c>
      <c r="H38" s="360">
        <f t="shared" si="0"/>
        <v>0</v>
      </c>
      <c r="I38" s="350">
        <f>H38+J38-K38</f>
        <v>0</v>
      </c>
      <c r="J38" s="360"/>
      <c r="K38" s="360"/>
      <c r="L38" s="360"/>
      <c r="M38" s="332"/>
      <c r="N38" s="340"/>
      <c r="O38" s="341"/>
    </row>
    <row r="39" spans="1:15" ht="16.2" outlineLevel="1">
      <c r="A39" s="288"/>
      <c r="B39" s="351" t="s">
        <v>604</v>
      </c>
      <c r="C39" s="352" t="str">
        <f>IF(OR(I39&lt;&gt;0,H39&lt;&gt;0),"x"," ")</f>
        <v xml:space="preserve"> </v>
      </c>
      <c r="D39" s="338" t="str">
        <f>VLOOKUP($B39,DG!A:D,DG!$B$2,)</f>
        <v>02.1120</v>
      </c>
      <c r="E39" s="366" t="str">
        <f>VLOOKUP($B39,DG!A:D,DG!$C$2,)</f>
        <v>Bốc dỡ phụ kiện</v>
      </c>
      <c r="F39" s="338" t="str">
        <f>VLOOKUP($B39,DG!A:D,DG!$D$2,)</f>
        <v>tấn</v>
      </c>
      <c r="G39" s="353"/>
      <c r="H39" s="360"/>
      <c r="I39" s="360"/>
      <c r="J39" s="360"/>
      <c r="K39" s="360"/>
      <c r="L39" s="360"/>
      <c r="M39" s="332"/>
      <c r="N39" s="340"/>
      <c r="O39" s="341"/>
    </row>
    <row r="40" spans="1:15" ht="16.2" outlineLevel="1">
      <c r="A40" s="288"/>
      <c r="B40" s="356" t="s">
        <v>605</v>
      </c>
      <c r="C40" s="352" t="str">
        <f>IF(OR(I40&lt;&gt;0,H40&lt;&gt;0),"x"," ")</f>
        <v xml:space="preserve"> </v>
      </c>
      <c r="D40" s="338" t="str">
        <f>VLOOKUP($B40,DG!A:C,2,)</f>
        <v>02.1351</v>
      </c>
      <c r="E40" s="366" t="str">
        <f>VLOOKUP($B40,DG!A:C,3,)</f>
        <v>V/c tiếp địa vào vị trí ( cự ly &lt;=100m)</v>
      </c>
      <c r="F40" s="338" t="str">
        <f>VLOOKUP($B40,DG!A:D,4,0)</f>
        <v>tấn</v>
      </c>
      <c r="G40" s="353"/>
      <c r="H40" s="354"/>
      <c r="I40" s="354"/>
      <c r="J40" s="354"/>
      <c r="K40" s="354"/>
      <c r="L40" s="354"/>
      <c r="M40" s="332"/>
      <c r="N40" s="340"/>
      <c r="O40" s="341"/>
    </row>
    <row r="41" spans="1:15" ht="16.2" outlineLevel="1">
      <c r="A41" s="342" t="s">
        <v>615</v>
      </c>
      <c r="B41" s="343" t="s">
        <v>615</v>
      </c>
      <c r="C41" s="344" t="str">
        <f>IF(OR(I41&lt;&gt;0,H41&lt;&gt;0),"x"," ")</f>
        <v xml:space="preserve"> </v>
      </c>
      <c r="D41" s="345"/>
      <c r="E41" s="346" t="s">
        <v>616</v>
      </c>
      <c r="F41" s="347" t="s">
        <v>285</v>
      </c>
      <c r="G41" s="348"/>
      <c r="H41" s="349">
        <f>IFERROR(HLOOKUP(B41,'BKT-ThuHoi'!$5:$183,179,0),0)</f>
        <v>0</v>
      </c>
      <c r="I41" s="350"/>
      <c r="J41" s="350"/>
      <c r="K41" s="350"/>
      <c r="L41" s="350"/>
      <c r="M41" s="332"/>
      <c r="N41" s="340"/>
      <c r="O41" s="341"/>
    </row>
    <row r="42" spans="1:15" ht="16.2" outlineLevel="1">
      <c r="A42" s="288"/>
      <c r="B42" s="351" t="s">
        <v>598</v>
      </c>
      <c r="C42" s="352" t="str">
        <f>IF(OR(I42&lt;&gt;0,H42&lt;&gt;0),"x"," ")</f>
        <v xml:space="preserve"> </v>
      </c>
      <c r="D42" s="338"/>
      <c r="E42" s="358" t="str">
        <f>VLOOKUP($B42,DG!A:D,DG!$C$2,)&amp;" : 3m"</f>
        <v>Cáp đồng trần M25mm2 : 3m</v>
      </c>
      <c r="F42" s="338" t="str">
        <f>VLOOKUP($B42,DG!A:D,DG!$D$2,)</f>
        <v>kg</v>
      </c>
      <c r="G42" s="357">
        <f>3*0.224</f>
        <v>0.67200000000000004</v>
      </c>
      <c r="H42" s="360">
        <f>H$21*$G42</f>
        <v>0</v>
      </c>
      <c r="I42" s="360"/>
      <c r="J42" s="360"/>
      <c r="K42" s="360"/>
      <c r="L42" s="360"/>
      <c r="M42" s="332"/>
      <c r="N42" s="340"/>
      <c r="O42" s="341"/>
    </row>
    <row r="43" spans="1:15" ht="16.2" outlineLevel="1">
      <c r="A43" s="288"/>
      <c r="B43" s="351" t="s">
        <v>599</v>
      </c>
      <c r="C43" s="352" t="str">
        <f>IF(OR(I43&lt;&gt;0,H43&lt;&gt;0),"x"," ")</f>
        <v xml:space="preserve"> </v>
      </c>
      <c r="D43" s="338"/>
      <c r="E43" s="358" t="str">
        <f>VLOOKUP($B43,DG!A:D,DG!$C$2,)</f>
        <v>Cọc tiếp đất Ø 16- 2,4m + kẹp cọc</v>
      </c>
      <c r="F43" s="338" t="str">
        <f>VLOOKUP($B43,DG!A:D,DG!$D$2,)</f>
        <v>bộ</v>
      </c>
      <c r="G43" s="359">
        <v>1</v>
      </c>
      <c r="H43" s="360">
        <f>H$21*$G43</f>
        <v>0</v>
      </c>
      <c r="I43" s="360"/>
      <c r="J43" s="360"/>
      <c r="K43" s="360"/>
      <c r="L43" s="360"/>
      <c r="M43" s="332"/>
      <c r="N43" s="340"/>
      <c r="O43" s="341"/>
    </row>
    <row r="44" spans="1:15" ht="16.2" outlineLevel="1">
      <c r="A44" s="288"/>
      <c r="B44" s="351" t="s">
        <v>617</v>
      </c>
      <c r="C44" s="352" t="str">
        <f>IF(OR(I44&lt;&gt;0,H44&lt;&gt;0),"x"," ")</f>
        <v xml:space="preserve"> </v>
      </c>
      <c r="D44" s="338"/>
      <c r="E44" s="358" t="str">
        <f>VLOOKUP($B44,DG!A:D,DG!$C$2,)</f>
        <v>Ghíp nối IPC 50-35</v>
      </c>
      <c r="F44" s="338" t="str">
        <f>VLOOKUP($B44,DG!A:D,DG!$D$2,)</f>
        <v>cái</v>
      </c>
      <c r="G44" s="359">
        <v>1</v>
      </c>
      <c r="H44" s="360">
        <f>H$21*$G44</f>
        <v>0</v>
      </c>
      <c r="I44" s="360"/>
      <c r="J44" s="360"/>
      <c r="K44" s="360"/>
      <c r="L44" s="360"/>
      <c r="M44" s="332"/>
      <c r="N44" s="340"/>
      <c r="O44" s="341"/>
    </row>
    <row r="45" spans="1:15" ht="16.2" outlineLevel="1">
      <c r="A45" s="288"/>
      <c r="B45" s="351" t="s">
        <v>602</v>
      </c>
      <c r="C45" s="352" t="str">
        <f>IF(OR(I45&lt;&gt;0,H45&lt;&gt;0),"x"," ")</f>
        <v xml:space="preserve"> </v>
      </c>
      <c r="D45" s="338" t="str">
        <f>VLOOKUP($B45,DG!A:D,DG!$B$2,)</f>
        <v>05.7001</v>
      </c>
      <c r="E45" s="366" t="str">
        <f>VLOOKUP($B45,DG!A:D,DG!$C$2,)</f>
        <v xml:space="preserve">Kéo dây tiếp địa </v>
      </c>
      <c r="F45" s="338" t="str">
        <f>VLOOKUP($B45,DG!A:D,DG!$D$2,)</f>
        <v>mét</v>
      </c>
      <c r="G45" s="357">
        <f>G42</f>
        <v>0.67200000000000004</v>
      </c>
      <c r="H45" s="354"/>
      <c r="I45" s="354"/>
      <c r="J45" s="354"/>
      <c r="K45" s="354"/>
      <c r="L45" s="354"/>
      <c r="M45" s="332"/>
      <c r="N45" s="340"/>
      <c r="O45" s="341"/>
    </row>
    <row r="46" spans="1:15" ht="16.2" outlineLevel="1">
      <c r="A46" s="288"/>
      <c r="B46" s="351" t="s">
        <v>603</v>
      </c>
      <c r="C46" s="352" t="str">
        <f>IF(OR(I46&lt;&gt;0,H46&lt;&gt;0),"x"," ")</f>
        <v xml:space="preserve"> </v>
      </c>
      <c r="D46" s="338" t="str">
        <f>VLOOKUP($B46,DG!A:D,DG!$B$2,)</f>
        <v>05.8103</v>
      </c>
      <c r="E46" s="366" t="str">
        <f>VLOOKUP($B46,DG!A:D,DG!$C$2,)</f>
        <v>Đóng cọc tiếp địa đất cấp 3</v>
      </c>
      <c r="F46" s="338" t="str">
        <f>VLOOKUP($B46,DG!A:D,DG!$D$2,)</f>
        <v>cọc</v>
      </c>
      <c r="G46" s="359">
        <v>1</v>
      </c>
      <c r="H46" s="360"/>
      <c r="I46" s="360"/>
      <c r="J46" s="360"/>
      <c r="K46" s="360"/>
      <c r="L46" s="360"/>
      <c r="M46" s="332"/>
      <c r="N46" s="340"/>
      <c r="O46" s="341"/>
    </row>
    <row r="47" spans="1:15" ht="16.2" outlineLevel="1">
      <c r="A47" s="288"/>
      <c r="B47" s="351" t="s">
        <v>604</v>
      </c>
      <c r="C47" s="352" t="str">
        <f>IF(OR(I47&lt;&gt;0,H47&lt;&gt;0),"x"," ")</f>
        <v xml:space="preserve"> </v>
      </c>
      <c r="D47" s="338" t="str">
        <f>VLOOKUP($B47,DG!A:D,DG!$B$2,)</f>
        <v>02.1120</v>
      </c>
      <c r="E47" s="366" t="str">
        <f>VLOOKUP($B47,DG!A:D,DG!$C$2,)</f>
        <v>Bốc dỡ phụ kiện</v>
      </c>
      <c r="F47" s="338" t="str">
        <f>VLOOKUP($B47,DG!A:D,DG!$D$2,)</f>
        <v>tấn</v>
      </c>
      <c r="G47" s="353"/>
      <c r="H47" s="360"/>
      <c r="I47" s="360"/>
      <c r="J47" s="360"/>
      <c r="K47" s="360"/>
      <c r="L47" s="360"/>
      <c r="M47" s="332"/>
      <c r="N47" s="340"/>
      <c r="O47" s="341"/>
    </row>
    <row r="48" spans="1:15" ht="16.2" outlineLevel="1">
      <c r="A48" s="288"/>
      <c r="B48" s="356" t="s">
        <v>605</v>
      </c>
      <c r="C48" s="352" t="str">
        <f>IF(OR(I48&lt;&gt;0,H48&lt;&gt;0),"x"," ")</f>
        <v xml:space="preserve"> </v>
      </c>
      <c r="D48" s="338" t="str">
        <f>VLOOKUP($B48,DG!A:C,2,)</f>
        <v>02.1351</v>
      </c>
      <c r="E48" s="366" t="str">
        <f>VLOOKUP($B48,DG!A:C,3,)</f>
        <v>V/c tiếp địa vào vị trí ( cự ly &lt;=100m)</v>
      </c>
      <c r="F48" s="338" t="str">
        <f>VLOOKUP($B48,DG!A:D,4,0)</f>
        <v>tấn</v>
      </c>
      <c r="G48" s="353"/>
      <c r="H48" s="354"/>
      <c r="I48" s="354"/>
      <c r="J48" s="354"/>
      <c r="K48" s="354"/>
      <c r="L48" s="354"/>
      <c r="M48" s="332"/>
      <c r="N48" s="340"/>
      <c r="O48" s="341"/>
    </row>
    <row r="49" spans="1:15" ht="16.2" outlineLevel="1" collapsed="1">
      <c r="A49" s="342" t="s">
        <v>618</v>
      </c>
      <c r="B49" s="343" t="s">
        <v>618</v>
      </c>
      <c r="C49" s="344" t="str">
        <f>IF(OR(I49&lt;&gt;0,H49&lt;&gt;0),"x"," ")</f>
        <v xml:space="preserve"> </v>
      </c>
      <c r="D49" s="345"/>
      <c r="E49" s="346" t="s">
        <v>619</v>
      </c>
      <c r="F49" s="347" t="s">
        <v>285</v>
      </c>
      <c r="G49" s="348"/>
      <c r="H49" s="349">
        <f>IFERROR(HLOOKUP(B49,'BKT-ThuHoi'!$5:$183,179,0),0)</f>
        <v>0</v>
      </c>
      <c r="I49" s="350"/>
      <c r="J49" s="350"/>
      <c r="K49" s="350"/>
      <c r="L49" s="350"/>
      <c r="M49" s="332"/>
      <c r="N49" s="340"/>
      <c r="O49" s="341"/>
    </row>
    <row r="50" spans="1:15" ht="16.2" outlineLevel="1">
      <c r="A50" s="288"/>
      <c r="B50" s="351" t="s">
        <v>598</v>
      </c>
      <c r="C50" s="352" t="str">
        <f>IF(OR(I50&lt;&gt;0,H50&lt;&gt;0),"x"," ")</f>
        <v xml:space="preserve"> </v>
      </c>
      <c r="D50" s="338"/>
      <c r="E50" s="358" t="str">
        <f>VLOOKUP($B50,DG!A:D,DG!C$2,)&amp;" : 10m"</f>
        <v>Cáp đồng trần M25mm2 : 10m</v>
      </c>
      <c r="F50" s="338" t="str">
        <f>VLOOKUP($B50,DG!A:D,DG!$D$2,)</f>
        <v>kg</v>
      </c>
      <c r="G50" s="357">
        <f>10*0.224</f>
        <v>2.2400000000000002</v>
      </c>
      <c r="H50" s="360">
        <f>H$49*$G50</f>
        <v>0</v>
      </c>
      <c r="I50" s="360"/>
      <c r="J50" s="360"/>
      <c r="K50" s="360"/>
      <c r="L50" s="360"/>
      <c r="M50" s="332"/>
      <c r="N50" s="340"/>
      <c r="O50" s="341"/>
    </row>
    <row r="51" spans="1:15" ht="16.2" outlineLevel="1">
      <c r="A51" s="288"/>
      <c r="B51" s="351" t="s">
        <v>599</v>
      </c>
      <c r="C51" s="352" t="str">
        <f>IF(OR(I51&lt;&gt;0,H51&lt;&gt;0),"x"," ")</f>
        <v xml:space="preserve"> </v>
      </c>
      <c r="D51" s="338"/>
      <c r="E51" s="358" t="str">
        <f>VLOOKUP($B51,DG!A:D,DG!C$2,)</f>
        <v>Cọc tiếp đất Ø 16- 2,4m + kẹp cọc</v>
      </c>
      <c r="F51" s="338" t="str">
        <f>VLOOKUP($B51,DG!A:D,DG!$D$2,)</f>
        <v>bộ</v>
      </c>
      <c r="G51" s="359">
        <v>1</v>
      </c>
      <c r="H51" s="360">
        <f t="shared" ref="H51:H58" si="1">H$49*$G51</f>
        <v>0</v>
      </c>
      <c r="I51" s="360"/>
      <c r="J51" s="360"/>
      <c r="K51" s="360"/>
      <c r="L51" s="360"/>
      <c r="M51" s="332"/>
      <c r="N51" s="340"/>
      <c r="O51" s="341"/>
    </row>
    <row r="52" spans="1:15" ht="16.2" outlineLevel="1">
      <c r="A52" s="288"/>
      <c r="B52" s="351" t="s">
        <v>620</v>
      </c>
      <c r="C52" s="352" t="str">
        <f>IF(OR(I52&lt;&gt;0,H52&lt;&gt;0),"x"," ")</f>
        <v xml:space="preserve"> </v>
      </c>
      <c r="D52" s="338"/>
      <c r="E52" s="358" t="str">
        <f>VLOOKUP($B52,DG!A:D,DG!C$2,)</f>
        <v>Kẹp nối đồng-nhôm</v>
      </c>
      <c r="F52" s="338" t="str">
        <f>VLOOKUP($B52,DG!A:D,DG!$D$2,)</f>
        <v>cái</v>
      </c>
      <c r="G52" s="359">
        <v>2</v>
      </c>
      <c r="H52" s="360">
        <f t="shared" si="1"/>
        <v>0</v>
      </c>
      <c r="I52" s="360"/>
      <c r="J52" s="360"/>
      <c r="K52" s="360"/>
      <c r="L52" s="360"/>
      <c r="M52" s="332"/>
      <c r="N52" s="340"/>
      <c r="O52" s="341"/>
    </row>
    <row r="53" spans="1:15" ht="16.2" outlineLevel="1">
      <c r="A53" s="288"/>
      <c r="B53" s="351" t="s">
        <v>609</v>
      </c>
      <c r="C53" s="352" t="str">
        <f>IF(OR(I53&lt;&gt;0,H53&lt;&gt;0),"x"," ")</f>
        <v xml:space="preserve"> </v>
      </c>
      <c r="D53" s="338"/>
      <c r="E53" s="358" t="str">
        <f>VLOOKUP($B53,DG!A:D,DG!C$2,)</f>
        <v>Đầu cosse ép Cu 25mm2</v>
      </c>
      <c r="F53" s="338" t="str">
        <f>VLOOKUP($B53,DG!A:D,DG!$D$2,)</f>
        <v>cái</v>
      </c>
      <c r="G53" s="359">
        <v>2</v>
      </c>
      <c r="H53" s="360">
        <f t="shared" si="1"/>
        <v>0</v>
      </c>
      <c r="I53" s="360"/>
      <c r="J53" s="360"/>
      <c r="K53" s="360"/>
      <c r="L53" s="360"/>
      <c r="M53" s="332"/>
      <c r="N53" s="340"/>
      <c r="O53" s="341"/>
    </row>
    <row r="54" spans="1:15" ht="16.2" outlineLevel="1">
      <c r="A54" s="288"/>
      <c r="B54" s="351" t="s">
        <v>610</v>
      </c>
      <c r="C54" s="352" t="str">
        <f>IF(OR(I54&lt;&gt;0,H54&lt;&gt;0),"x"," ")</f>
        <v xml:space="preserve"> </v>
      </c>
      <c r="D54" s="338"/>
      <c r="E54" s="358" t="str">
        <f>VLOOKUP($B54,DG!A:D,DG!C$2,)</f>
        <v>Boulon 12x40</v>
      </c>
      <c r="F54" s="338" t="str">
        <f>VLOOKUP($B54,DG!A:D,DG!$D$2,)</f>
        <v>bộ</v>
      </c>
      <c r="G54" s="359">
        <v>1</v>
      </c>
      <c r="H54" s="360">
        <f t="shared" si="1"/>
        <v>0</v>
      </c>
      <c r="I54" s="360"/>
      <c r="J54" s="360"/>
      <c r="K54" s="360"/>
      <c r="L54" s="360"/>
      <c r="M54" s="332"/>
      <c r="N54" s="340"/>
      <c r="O54" s="341"/>
    </row>
    <row r="55" spans="1:15" ht="16.2" outlineLevel="1">
      <c r="A55" s="288"/>
      <c r="B55" s="351" t="s">
        <v>602</v>
      </c>
      <c r="C55" s="352" t="str">
        <f>IF(OR(I55&lt;&gt;0,H55&lt;&gt;0),"x"," ")</f>
        <v xml:space="preserve"> </v>
      </c>
      <c r="D55" s="338" t="str">
        <f>VLOOKUP($B55,DG!A:D,DG!$B$2,)</f>
        <v>05.7001</v>
      </c>
      <c r="E55" s="366" t="str">
        <f>VLOOKUP($B55,DG!A:D,DG!C$2,)</f>
        <v xml:space="preserve">Kéo dây tiếp địa </v>
      </c>
      <c r="F55" s="338" t="str">
        <f>VLOOKUP($B55,DG!A:D,DG!$D$2,)</f>
        <v>mét</v>
      </c>
      <c r="G55" s="357">
        <f>G50</f>
        <v>2.2400000000000002</v>
      </c>
      <c r="H55" s="360">
        <f t="shared" si="1"/>
        <v>0</v>
      </c>
      <c r="I55" s="354"/>
      <c r="J55" s="354"/>
      <c r="K55" s="354"/>
      <c r="L55" s="354"/>
      <c r="M55" s="332"/>
      <c r="N55" s="340"/>
      <c r="O55" s="341"/>
    </row>
    <row r="56" spans="1:15" ht="16.2" outlineLevel="1">
      <c r="A56" s="288"/>
      <c r="B56" s="351" t="s">
        <v>603</v>
      </c>
      <c r="C56" s="352" t="str">
        <f>IF(OR(I56&lt;&gt;0,H56&lt;&gt;0),"x"," ")</f>
        <v xml:space="preserve"> </v>
      </c>
      <c r="D56" s="338" t="str">
        <f>VLOOKUP($B56,DG!A:D,DG!$B$2,)</f>
        <v>05.8103</v>
      </c>
      <c r="E56" s="366" t="str">
        <f>VLOOKUP($B56,DG!A:D,DG!C$2,)</f>
        <v>Đóng cọc tiếp địa đất cấp 3</v>
      </c>
      <c r="F56" s="338" t="str">
        <f>VLOOKUP($B56,DG!A:D,DG!$D$2,)</f>
        <v>cọc</v>
      </c>
      <c r="G56" s="359">
        <f>+G51</f>
        <v>1</v>
      </c>
      <c r="H56" s="360">
        <f t="shared" si="1"/>
        <v>0</v>
      </c>
      <c r="I56" s="360"/>
      <c r="J56" s="360"/>
      <c r="K56" s="360"/>
      <c r="L56" s="360"/>
      <c r="M56" s="332"/>
      <c r="N56" s="340"/>
      <c r="O56" s="341"/>
    </row>
    <row r="57" spans="1:15" ht="16.2" outlineLevel="1">
      <c r="A57" s="288"/>
      <c r="B57" s="351" t="s">
        <v>604</v>
      </c>
      <c r="C57" s="352" t="str">
        <f>IF(OR(I57&lt;&gt;0,H57&lt;&gt;0),"x"," ")</f>
        <v xml:space="preserve"> </v>
      </c>
      <c r="D57" s="338" t="str">
        <f>VLOOKUP($B57,DG!A:D,DG!$B$2,)</f>
        <v>02.1120</v>
      </c>
      <c r="E57" s="366" t="str">
        <f>VLOOKUP($B57,DG!A:D,DG!C$2,)</f>
        <v>Bốc dỡ phụ kiện</v>
      </c>
      <c r="F57" s="338" t="str">
        <f>VLOOKUP($B57,DG!A:D,DG!$D$2,)</f>
        <v>tấn</v>
      </c>
      <c r="G57" s="353"/>
      <c r="H57" s="360">
        <f t="shared" si="1"/>
        <v>0</v>
      </c>
      <c r="I57" s="360"/>
      <c r="J57" s="360"/>
      <c r="K57" s="360"/>
      <c r="L57" s="360"/>
      <c r="M57" s="332"/>
      <c r="N57" s="340"/>
      <c r="O57" s="341"/>
    </row>
    <row r="58" spans="1:15" ht="16.2" outlineLevel="1">
      <c r="A58" s="288"/>
      <c r="B58" s="356" t="s">
        <v>605</v>
      </c>
      <c r="C58" s="352" t="str">
        <f>IF(OR(I58&lt;&gt;0,H58&lt;&gt;0),"x"," ")</f>
        <v xml:space="preserve"> </v>
      </c>
      <c r="D58" s="338" t="str">
        <f>VLOOKUP($B58,DG!A:C,2,)</f>
        <v>02.1351</v>
      </c>
      <c r="E58" s="366" t="str">
        <f>VLOOKUP($B58,DG!A:C,3,)</f>
        <v>V/c tiếp địa vào vị trí ( cự ly &lt;=100m)</v>
      </c>
      <c r="F58" s="338" t="str">
        <f>VLOOKUP($B58,DG!A:D,4,0)</f>
        <v>tấn</v>
      </c>
      <c r="G58" s="353"/>
      <c r="H58" s="360">
        <f t="shared" si="1"/>
        <v>0</v>
      </c>
      <c r="I58" s="354"/>
      <c r="J58" s="354"/>
      <c r="K58" s="354"/>
      <c r="L58" s="354"/>
      <c r="M58" s="332"/>
      <c r="N58" s="340"/>
      <c r="O58" s="341"/>
    </row>
    <row r="59" spans="1:15" ht="16.2" outlineLevel="1">
      <c r="A59" s="382" t="s">
        <v>621</v>
      </c>
      <c r="B59" s="343" t="s">
        <v>621</v>
      </c>
      <c r="C59" s="374" t="str">
        <f>IF(OR(I59&lt;&gt;0,H59&lt;&gt;0),"x"," ")</f>
        <v xml:space="preserve"> </v>
      </c>
      <c r="D59" s="345"/>
      <c r="E59" s="346" t="s">
        <v>622</v>
      </c>
      <c r="F59" s="347" t="s">
        <v>285</v>
      </c>
      <c r="G59" s="383"/>
      <c r="H59" s="349">
        <f>IFERROR(HLOOKUP(B59,'BKT-ThuHoi'!$5:$183,179,0),0)</f>
        <v>0</v>
      </c>
      <c r="I59" s="350">
        <f>H59+J59-K59</f>
        <v>0</v>
      </c>
      <c r="J59" s="350"/>
      <c r="K59" s="350"/>
      <c r="L59" s="350"/>
      <c r="M59" s="340"/>
      <c r="N59" s="340"/>
      <c r="O59" s="341"/>
    </row>
    <row r="60" spans="1:15" ht="16.2" outlineLevel="1">
      <c r="A60" s="384"/>
      <c r="B60" s="336" t="s">
        <v>598</v>
      </c>
      <c r="C60" s="376" t="str">
        <f>IF(OR(I60&lt;&gt;0,H60&lt;&gt;0),"x"," ")</f>
        <v xml:space="preserve"> </v>
      </c>
      <c r="D60" s="338" t="s">
        <v>623</v>
      </c>
      <c r="E60" s="358" t="str">
        <f>VLOOKUP($B60,DG!A:D,DG!C$2,)</f>
        <v>Cáp đồng trần M25mm2</v>
      </c>
      <c r="F60" s="338" t="str">
        <f>VLOOKUP($B60,DG!A:D,DG!$D$2,)</f>
        <v>kg</v>
      </c>
      <c r="G60" s="357">
        <f>9*0.224</f>
        <v>2.016</v>
      </c>
      <c r="H60" s="379">
        <f t="shared" ref="H60:H68" si="2">H$59*$G60</f>
        <v>0</v>
      </c>
      <c r="I60" s="379">
        <f>G60*$I$59</f>
        <v>0</v>
      </c>
      <c r="J60" s="360"/>
      <c r="K60" s="360"/>
      <c r="L60" s="360"/>
      <c r="M60" s="340"/>
      <c r="N60" s="340"/>
      <c r="O60" s="341"/>
    </row>
    <row r="61" spans="1:15" ht="16.2" outlineLevel="1">
      <c r="A61" s="384"/>
      <c r="B61" s="336" t="s">
        <v>599</v>
      </c>
      <c r="C61" s="376" t="str">
        <f>IF(OR(I61&lt;&gt;0,H61&lt;&gt;0),"x"," ")</f>
        <v xml:space="preserve"> </v>
      </c>
      <c r="D61" s="338"/>
      <c r="E61" s="358" t="str">
        <f>VLOOKUP($B61,DG!A:D,DG!C$2,)</f>
        <v>Cọc tiếp đất Ø 16- 2,4m + kẹp cọc</v>
      </c>
      <c r="F61" s="338" t="str">
        <f>VLOOKUP($B61,DG!A:D,DG!$D$2,)</f>
        <v>bộ</v>
      </c>
      <c r="G61" s="359">
        <v>1</v>
      </c>
      <c r="H61" s="360">
        <f t="shared" si="2"/>
        <v>0</v>
      </c>
      <c r="I61" s="360">
        <f>G61*$I$59</f>
        <v>0</v>
      </c>
      <c r="J61" s="360"/>
      <c r="K61" s="360"/>
      <c r="L61" s="360"/>
      <c r="M61" s="339"/>
      <c r="N61" s="340"/>
      <c r="O61" s="341"/>
    </row>
    <row r="62" spans="1:15" ht="16.2" outlineLevel="1">
      <c r="A62" s="288"/>
      <c r="B62" s="351" t="s">
        <v>624</v>
      </c>
      <c r="C62" s="352" t="str">
        <f>IF(OR(I62&lt;&gt;0,H62&lt;&gt;0),"x"," ")</f>
        <v xml:space="preserve"> </v>
      </c>
      <c r="D62" s="338"/>
      <c r="E62" s="358" t="str">
        <f>VLOOKUP($B62,DG!A:D,DG!C$2,)</f>
        <v>Kẹp ép WR cỡ dây 50mm2</v>
      </c>
      <c r="F62" s="338" t="str">
        <f>VLOOKUP($B62,DG!A:D,DG!$D$2,)</f>
        <v>cái</v>
      </c>
      <c r="G62" s="359">
        <f>2</f>
        <v>2</v>
      </c>
      <c r="H62" s="360">
        <f t="shared" si="2"/>
        <v>0</v>
      </c>
      <c r="I62" s="360">
        <f>G62*$I$59</f>
        <v>0</v>
      </c>
      <c r="J62" s="360"/>
      <c r="K62" s="360"/>
      <c r="L62" s="360"/>
      <c r="M62" s="332"/>
      <c r="N62" s="340"/>
      <c r="O62" s="341"/>
    </row>
    <row r="63" spans="1:15" ht="16.2" outlineLevel="1">
      <c r="A63" s="288"/>
      <c r="B63" s="351" t="s">
        <v>625</v>
      </c>
      <c r="C63" s="352" t="str">
        <f>IF(OR(I63&lt;&gt;0,H63&lt;&gt;0),"x"," ")</f>
        <v xml:space="preserve"> </v>
      </c>
      <c r="D63" s="338"/>
      <c r="E63" s="358" t="str">
        <f>VLOOKUP($B63,DG!A:D,DG!C$2,)</f>
        <v xml:space="preserve">Ống PVC D21x1,6mm </v>
      </c>
      <c r="F63" s="338" t="str">
        <f>VLOOKUP($B63,DG!A:D,DG!$D$2,)</f>
        <v>m</v>
      </c>
      <c r="G63" s="359">
        <f>6-6</f>
        <v>0</v>
      </c>
      <c r="H63" s="360">
        <f t="shared" si="2"/>
        <v>0</v>
      </c>
      <c r="I63" s="360"/>
      <c r="J63" s="360"/>
      <c r="K63" s="360"/>
      <c r="L63" s="360"/>
      <c r="M63" s="332"/>
      <c r="N63" s="340"/>
      <c r="O63" s="341"/>
    </row>
    <row r="64" spans="1:15" ht="16.2" outlineLevel="1">
      <c r="A64" s="288"/>
      <c r="B64" s="351" t="s">
        <v>610</v>
      </c>
      <c r="C64" s="352" t="str">
        <f>IF(OR(I64&lt;&gt;0,H64&lt;&gt;0),"x"," ")</f>
        <v xml:space="preserve"> </v>
      </c>
      <c r="D64" s="338"/>
      <c r="E64" s="358" t="str">
        <f>VLOOKUP($B64,DG!A:D,DG!C$2,)</f>
        <v>Boulon 12x40</v>
      </c>
      <c r="F64" s="338" t="str">
        <f>VLOOKUP($B64,DG!A:D,DG!$D$2,)</f>
        <v>bộ</v>
      </c>
      <c r="G64" s="359">
        <f>1*H59</f>
        <v>0</v>
      </c>
      <c r="H64" s="360">
        <f t="shared" si="2"/>
        <v>0</v>
      </c>
      <c r="I64" s="360"/>
      <c r="J64" s="360"/>
      <c r="K64" s="360"/>
      <c r="L64" s="360"/>
      <c r="M64" s="332"/>
      <c r="N64" s="340"/>
      <c r="O64" s="341"/>
    </row>
    <row r="65" spans="1:15" ht="16.2" outlineLevel="1">
      <c r="A65" s="384"/>
      <c r="B65" s="336" t="s">
        <v>602</v>
      </c>
      <c r="C65" s="376" t="str">
        <f>IF(OR(I65&lt;&gt;0,H65&lt;&gt;0),"x"," ")</f>
        <v xml:space="preserve"> </v>
      </c>
      <c r="D65" s="338" t="str">
        <f>VLOOKUP($B65,DG!A:D,DG!$B$2,)</f>
        <v>05.7001</v>
      </c>
      <c r="E65" s="366" t="str">
        <f>VLOOKUP($B65,DG!A:D,DG!C$2,)</f>
        <v xml:space="preserve">Kéo dây tiếp địa </v>
      </c>
      <c r="F65" s="338" t="str">
        <f>VLOOKUP($B65,DG!A:D,DG!$D$2,)</f>
        <v>mét</v>
      </c>
      <c r="G65" s="357">
        <f>G60</f>
        <v>2.016</v>
      </c>
      <c r="H65" s="379">
        <f t="shared" si="2"/>
        <v>0</v>
      </c>
      <c r="I65" s="379">
        <f>G65*$I$59</f>
        <v>0</v>
      </c>
      <c r="J65" s="354"/>
      <c r="K65" s="354"/>
      <c r="L65" s="354"/>
      <c r="M65" s="339"/>
      <c r="N65" s="340"/>
      <c r="O65" s="341"/>
    </row>
    <row r="66" spans="1:15" ht="16.2" outlineLevel="1">
      <c r="A66" s="384"/>
      <c r="B66" s="336" t="s">
        <v>603</v>
      </c>
      <c r="C66" s="376" t="str">
        <f>IF(OR(I66&lt;&gt;0,H66&lt;&gt;0),"x"," ")</f>
        <v xml:space="preserve"> </v>
      </c>
      <c r="D66" s="338" t="str">
        <f>VLOOKUP($B66,DG!A:D,DG!$B$2,)</f>
        <v>05.8103</v>
      </c>
      <c r="E66" s="366" t="str">
        <f>VLOOKUP($B66,DG!A:D,DG!C$2,)</f>
        <v>Đóng cọc tiếp địa đất cấp 3</v>
      </c>
      <c r="F66" s="338" t="str">
        <f>VLOOKUP($B66,DG!A:D,DG!$D$2,)</f>
        <v>cọc</v>
      </c>
      <c r="G66" s="359">
        <f>G61</f>
        <v>1</v>
      </c>
      <c r="H66" s="360">
        <f t="shared" si="2"/>
        <v>0</v>
      </c>
      <c r="I66" s="360">
        <f>G66*$I$59</f>
        <v>0</v>
      </c>
      <c r="J66" s="360"/>
      <c r="K66" s="360"/>
      <c r="L66" s="360"/>
      <c r="M66" s="339"/>
      <c r="N66" s="340"/>
      <c r="O66" s="341"/>
    </row>
    <row r="67" spans="1:15" ht="16.2" outlineLevel="1">
      <c r="A67" s="288"/>
      <c r="B67" s="351" t="s">
        <v>604</v>
      </c>
      <c r="C67" s="352" t="str">
        <f>IF(OR(I67&lt;&gt;0,H67&lt;&gt;0),"x"," ")</f>
        <v xml:space="preserve"> </v>
      </c>
      <c r="D67" s="338" t="str">
        <f>VLOOKUP($B67,DG!A:D,DG!$B$2,)</f>
        <v>02.1120</v>
      </c>
      <c r="E67" s="366" t="str">
        <f>VLOOKUP($B67,DG!A:D,DG!C$2,)</f>
        <v>Bốc dỡ phụ kiện</v>
      </c>
      <c r="F67" s="338" t="str">
        <f>VLOOKUP($B67,DG!A:D,DG!$D$2,)</f>
        <v>tấn</v>
      </c>
      <c r="G67" s="353">
        <f>0.008-0.008</f>
        <v>0</v>
      </c>
      <c r="H67" s="360">
        <f t="shared" si="2"/>
        <v>0</v>
      </c>
      <c r="I67" s="360"/>
      <c r="J67" s="360"/>
      <c r="K67" s="360"/>
      <c r="L67" s="360"/>
      <c r="M67" s="332"/>
      <c r="N67" s="340"/>
      <c r="O67" s="341"/>
    </row>
    <row r="68" spans="1:15" ht="16.2" outlineLevel="1">
      <c r="A68" s="288"/>
      <c r="B68" s="356" t="s">
        <v>605</v>
      </c>
      <c r="C68" s="352" t="str">
        <f>IF(OR(I68&lt;&gt;0,H68&lt;&gt;0),"x"," ")</f>
        <v xml:space="preserve"> </v>
      </c>
      <c r="D68" s="338" t="str">
        <f>VLOOKUP($B68,DG!A:C,2,)</f>
        <v>02.1351</v>
      </c>
      <c r="E68" s="366" t="str">
        <f>VLOOKUP($B68,DG!A:C,3,)</f>
        <v>V/c tiếp địa vào vị trí ( cự ly &lt;=100m)</v>
      </c>
      <c r="F68" s="338" t="str">
        <f>VLOOKUP($B68,DG!A:D,4,0)</f>
        <v>tấn</v>
      </c>
      <c r="G68" s="353"/>
      <c r="H68" s="360">
        <f t="shared" si="2"/>
        <v>0</v>
      </c>
      <c r="I68" s="354"/>
      <c r="J68" s="354"/>
      <c r="K68" s="354"/>
      <c r="L68" s="354"/>
      <c r="M68" s="332"/>
      <c r="N68" s="340"/>
      <c r="O68" s="341"/>
    </row>
    <row r="69" spans="1:15" ht="16.2" outlineLevel="1">
      <c r="A69" s="372" t="s">
        <v>626</v>
      </c>
      <c r="B69" s="373" t="s">
        <v>626</v>
      </c>
      <c r="C69" s="344" t="str">
        <f>IF(OR(I69&lt;&gt;0,H69&lt;&gt;0),"x"," ")</f>
        <v xml:space="preserve"> </v>
      </c>
      <c r="D69" s="345"/>
      <c r="E69" s="346" t="s">
        <v>627</v>
      </c>
      <c r="F69" s="347" t="s">
        <v>285</v>
      </c>
      <c r="G69" s="383"/>
      <c r="H69" s="349">
        <f>IFERROR(HLOOKUP(B69,'BKT-ThuHoi'!$5:$183,179,0),0)</f>
        <v>0</v>
      </c>
      <c r="I69" s="349">
        <f>H69+J69-K69</f>
        <v>0</v>
      </c>
      <c r="J69" s="350"/>
      <c r="K69" s="350"/>
      <c r="L69" s="350"/>
      <c r="M69" s="340"/>
      <c r="N69" s="340"/>
      <c r="O69" s="341"/>
    </row>
    <row r="70" spans="1:15" ht="16.2" outlineLevel="1">
      <c r="B70" s="351" t="s">
        <v>598</v>
      </c>
      <c r="C70" s="352" t="str">
        <f>IF(OR(I70&lt;&gt;0,H70&lt;&gt;0),"x"," ")</f>
        <v xml:space="preserve"> </v>
      </c>
      <c r="D70" s="338"/>
      <c r="E70" s="358" t="str">
        <f>VLOOKUP($B70,DG!A:D,DG!C$2,)</f>
        <v>Cáp đồng trần M25mm2</v>
      </c>
      <c r="F70" s="338" t="str">
        <f>VLOOKUP($B70,DG!A:D,DG!$D$2,)</f>
        <v>kg</v>
      </c>
      <c r="G70" s="357">
        <f>9*0.224</f>
        <v>2.016</v>
      </c>
      <c r="H70" s="379">
        <f>$H$69*$G70</f>
        <v>0</v>
      </c>
      <c r="I70" s="369">
        <f>$I$69*G70</f>
        <v>0</v>
      </c>
      <c r="J70" s="360"/>
      <c r="K70" s="360"/>
      <c r="L70" s="360"/>
      <c r="M70" s="339"/>
      <c r="N70" s="340"/>
      <c r="O70" s="341"/>
    </row>
    <row r="71" spans="1:15" ht="16.2" outlineLevel="1">
      <c r="B71" s="351" t="s">
        <v>599</v>
      </c>
      <c r="C71" s="352" t="str">
        <f>IF(OR(I71&lt;&gt;0,H71&lt;&gt;0),"x"," ")</f>
        <v xml:space="preserve"> </v>
      </c>
      <c r="D71" s="338"/>
      <c r="E71" s="358" t="str">
        <f>VLOOKUP($B71,DG!A:D,DG!C$2,)</f>
        <v>Cọc tiếp đất Ø 16- 2,4m + kẹp cọc</v>
      </c>
      <c r="F71" s="338" t="str">
        <f>VLOOKUP($B71,DG!A:D,DG!$D$2,)</f>
        <v>bộ</v>
      </c>
      <c r="G71" s="359">
        <v>1</v>
      </c>
      <c r="H71" s="360">
        <f t="shared" ref="H71:H79" si="3">$H$69*$G71</f>
        <v>0</v>
      </c>
      <c r="I71" s="355">
        <f>$I$69*G71</f>
        <v>0</v>
      </c>
      <c r="J71" s="360"/>
      <c r="K71" s="360"/>
      <c r="L71" s="360"/>
      <c r="M71" s="339"/>
      <c r="N71" s="340"/>
      <c r="O71" s="341"/>
    </row>
    <row r="72" spans="1:15" ht="16.2" outlineLevel="1">
      <c r="B72" s="351" t="s">
        <v>608</v>
      </c>
      <c r="C72" s="352" t="str">
        <f>IF(OR(I72&lt;&gt;0,H72&lt;&gt;0),"x"," ")</f>
        <v xml:space="preserve"> </v>
      </c>
      <c r="D72" s="338"/>
      <c r="E72" s="358" t="str">
        <f>VLOOKUP($B72,DG!A:D,DG!C$2,)</f>
        <v>Kẹp ép WR cỡ dây 50mm2</v>
      </c>
      <c r="F72" s="338" t="str">
        <f>VLOOKUP($B72,DG!A:D,DG!$D$2,)</f>
        <v>cái</v>
      </c>
      <c r="G72" s="359">
        <v>1</v>
      </c>
      <c r="H72" s="360">
        <f t="shared" si="3"/>
        <v>0</v>
      </c>
      <c r="I72" s="355">
        <f>$I$69*G72</f>
        <v>0</v>
      </c>
      <c r="J72" s="360"/>
      <c r="K72" s="360"/>
      <c r="L72" s="360"/>
      <c r="M72" s="339"/>
      <c r="N72" s="340"/>
      <c r="O72" s="341"/>
    </row>
    <row r="73" spans="1:15" ht="16.2" outlineLevel="1">
      <c r="A73" s="288"/>
      <c r="B73" s="351" t="s">
        <v>609</v>
      </c>
      <c r="C73" s="352" t="str">
        <f>IF(OR(I73&lt;&gt;0,H73&lt;&gt;0),"x"," ")</f>
        <v xml:space="preserve"> </v>
      </c>
      <c r="D73" s="338"/>
      <c r="E73" s="358" t="str">
        <f>VLOOKUP($B73,DG!A:D,DG!C$2,)</f>
        <v>Đầu cosse ép Cu 25mm2</v>
      </c>
      <c r="F73" s="338" t="str">
        <f>VLOOKUP($B73,DG!A:D,DG!$D$2,)</f>
        <v>cái</v>
      </c>
      <c r="G73" s="359"/>
      <c r="H73" s="360">
        <f t="shared" si="3"/>
        <v>0</v>
      </c>
      <c r="I73" s="360"/>
      <c r="J73" s="360"/>
      <c r="K73" s="360"/>
      <c r="L73" s="360"/>
      <c r="M73" s="332"/>
      <c r="N73" s="340"/>
      <c r="O73" s="341"/>
    </row>
    <row r="74" spans="1:15" ht="16.2" outlineLevel="1">
      <c r="A74" s="288"/>
      <c r="B74" s="351" t="s">
        <v>610</v>
      </c>
      <c r="C74" s="352" t="str">
        <f>IF(OR(I74&lt;&gt;0,H74&lt;&gt;0),"x"," ")</f>
        <v xml:space="preserve"> </v>
      </c>
      <c r="D74" s="338"/>
      <c r="E74" s="358" t="str">
        <f>VLOOKUP($B74,DG!A:D,DG!C$2,)</f>
        <v>Boulon 12x40</v>
      </c>
      <c r="F74" s="338" t="str">
        <f>VLOOKUP($B74,DG!A:D,DG!$D$2,)</f>
        <v>bộ</v>
      </c>
      <c r="G74" s="359"/>
      <c r="H74" s="360">
        <f t="shared" si="3"/>
        <v>0</v>
      </c>
      <c r="I74" s="360"/>
      <c r="J74" s="360"/>
      <c r="K74" s="360"/>
      <c r="L74" s="360"/>
      <c r="M74" s="332"/>
      <c r="N74" s="340"/>
      <c r="O74" s="341"/>
    </row>
    <row r="75" spans="1:15" ht="16.2" outlineLevel="1">
      <c r="B75" s="351" t="s">
        <v>602</v>
      </c>
      <c r="C75" s="352" t="str">
        <f>IF(OR(I75&lt;&gt;0,H75&lt;&gt;0),"x"," ")</f>
        <v xml:space="preserve"> </v>
      </c>
      <c r="D75" s="338" t="str">
        <f>VLOOKUP($B75,DG!A:D,DG!$B$2,)</f>
        <v>05.7001</v>
      </c>
      <c r="E75" s="366" t="str">
        <f>VLOOKUP($B75,DG!A:D,DG!C$2,)</f>
        <v xml:space="preserve">Kéo dây tiếp địa </v>
      </c>
      <c r="F75" s="338" t="str">
        <f>VLOOKUP($B75,DG!A:D,DG!$D$2,)</f>
        <v>mét</v>
      </c>
      <c r="G75" s="357">
        <f>G70</f>
        <v>2.016</v>
      </c>
      <c r="H75" s="379">
        <f t="shared" si="3"/>
        <v>0</v>
      </c>
      <c r="I75" s="369">
        <f>$I$69*G75</f>
        <v>0</v>
      </c>
      <c r="J75" s="354"/>
      <c r="K75" s="354"/>
      <c r="L75" s="354"/>
      <c r="M75" s="339"/>
      <c r="N75" s="340"/>
      <c r="O75" s="341"/>
    </row>
    <row r="76" spans="1:15" ht="16.2" outlineLevel="1">
      <c r="B76" s="351" t="s">
        <v>603</v>
      </c>
      <c r="C76" s="352" t="str">
        <f>IF(OR(I76&lt;&gt;0,H76&lt;&gt;0),"x"," ")</f>
        <v xml:space="preserve"> </v>
      </c>
      <c r="D76" s="338" t="str">
        <f>VLOOKUP($B76,DG!A:D,DG!$B$2,)</f>
        <v>05.8103</v>
      </c>
      <c r="E76" s="366" t="str">
        <f>VLOOKUP($B76,DG!A:D,DG!C$2,)</f>
        <v>Đóng cọc tiếp địa đất cấp 3</v>
      </c>
      <c r="F76" s="338" t="str">
        <f>VLOOKUP($B76,DG!A:D,DG!$D$2,)</f>
        <v>cọc</v>
      </c>
      <c r="G76" s="359">
        <f>G71</f>
        <v>1</v>
      </c>
      <c r="H76" s="360">
        <f t="shared" si="3"/>
        <v>0</v>
      </c>
      <c r="I76" s="355">
        <f>$I$69*G76</f>
        <v>0</v>
      </c>
      <c r="J76" s="360"/>
      <c r="K76" s="360"/>
      <c r="L76" s="360"/>
      <c r="M76" s="339"/>
      <c r="N76" s="340"/>
      <c r="O76" s="341"/>
    </row>
    <row r="77" spans="1:15" ht="16.2" outlineLevel="1">
      <c r="B77" s="351" t="s">
        <v>628</v>
      </c>
      <c r="C77" s="352" t="str">
        <f>IF(OR(I77&lt;&gt;0,H77&lt;&gt;0),"x"," ")</f>
        <v xml:space="preserve"> </v>
      </c>
      <c r="D77" s="338" t="str">
        <f>VLOOKUP($B77,DG!A:D,DG!$B$2,)</f>
        <v>03.3123</v>
      </c>
      <c r="E77" s="366" t="str">
        <f>VLOOKUP($B77,DG!A:D,DG!C$2,)</f>
        <v>Đào rãnh tiếp địa đất cấp 3</v>
      </c>
      <c r="F77" s="338" t="str">
        <f>VLOOKUP($B77,DG!A:D,DG!$D$2,)</f>
        <v>m3</v>
      </c>
      <c r="G77" s="385">
        <v>0.24</v>
      </c>
      <c r="H77" s="379"/>
      <c r="I77" s="369"/>
      <c r="J77" s="360"/>
      <c r="K77" s="360"/>
      <c r="L77" s="360"/>
      <c r="M77" s="339"/>
      <c r="N77" s="340"/>
      <c r="O77" s="341"/>
    </row>
    <row r="78" spans="1:15" ht="16.2" outlineLevel="1">
      <c r="A78" s="288"/>
      <c r="B78" s="351" t="s">
        <v>604</v>
      </c>
      <c r="C78" s="352" t="str">
        <f>IF(OR(I78&lt;&gt;0,H78&lt;&gt;0),"x"," ")</f>
        <v xml:space="preserve"> </v>
      </c>
      <c r="D78" s="338" t="str">
        <f>VLOOKUP($B78,DG!A:D,DG!$B$2,)</f>
        <v>02.1120</v>
      </c>
      <c r="E78" s="366" t="str">
        <f>VLOOKUP($B78,DG!A:D,DG!C$2,)</f>
        <v>Bốc dỡ phụ kiện</v>
      </c>
      <c r="F78" s="338" t="str">
        <f>VLOOKUP($B78,DG!A:D,DG!$D$2,)</f>
        <v>tấn</v>
      </c>
      <c r="G78" s="353"/>
      <c r="H78" s="360">
        <f t="shared" si="3"/>
        <v>0</v>
      </c>
      <c r="I78" s="360"/>
      <c r="J78" s="360"/>
      <c r="K78" s="360"/>
      <c r="L78" s="360"/>
      <c r="M78" s="332"/>
      <c r="N78" s="340"/>
      <c r="O78" s="341"/>
    </row>
    <row r="79" spans="1:15" ht="16.2" outlineLevel="1">
      <c r="A79" s="288"/>
      <c r="B79" s="356" t="s">
        <v>605</v>
      </c>
      <c r="C79" s="352" t="str">
        <f>IF(OR(I79&lt;&gt;0,H79&lt;&gt;0),"x"," ")</f>
        <v xml:space="preserve"> </v>
      </c>
      <c r="D79" s="338" t="str">
        <f>VLOOKUP($B79,DG!A:C,2,)</f>
        <v>02.1351</v>
      </c>
      <c r="E79" s="366" t="str">
        <f>VLOOKUP($B79,DG!A:C,3,)</f>
        <v>V/c tiếp địa vào vị trí ( cự ly &lt;=100m)</v>
      </c>
      <c r="F79" s="338" t="str">
        <f>VLOOKUP($B79,DG!A:D,4,0)</f>
        <v>tấn</v>
      </c>
      <c r="G79" s="353"/>
      <c r="H79" s="360">
        <f t="shared" si="3"/>
        <v>0</v>
      </c>
      <c r="I79" s="354"/>
      <c r="J79" s="354"/>
      <c r="K79" s="354"/>
      <c r="L79" s="354"/>
      <c r="M79" s="332"/>
      <c r="N79" s="340"/>
      <c r="O79" s="341"/>
    </row>
    <row r="80" spans="1:15" ht="16.2" outlineLevel="1">
      <c r="A80" s="342" t="s">
        <v>629</v>
      </c>
      <c r="B80" s="343" t="s">
        <v>629</v>
      </c>
      <c r="C80" s="344" t="str">
        <f>IF(OR(I80&lt;&gt;0,H80&lt;&gt;0),"x"," ")</f>
        <v xml:space="preserve"> </v>
      </c>
      <c r="D80" s="345"/>
      <c r="E80" s="346" t="s">
        <v>630</v>
      </c>
      <c r="F80" s="347" t="s">
        <v>285</v>
      </c>
      <c r="G80" s="383"/>
      <c r="H80" s="349">
        <f>IFERROR(HLOOKUP(B80,'BKT-ThuHoi'!$5:$183,179,0),0)</f>
        <v>0</v>
      </c>
      <c r="I80" s="350"/>
      <c r="J80" s="350"/>
      <c r="K80" s="350"/>
      <c r="L80" s="350"/>
      <c r="M80" s="332"/>
      <c r="N80" s="340"/>
      <c r="O80" s="341"/>
    </row>
    <row r="81" spans="1:15" ht="16.2" outlineLevel="1">
      <c r="A81" s="288"/>
      <c r="B81" s="351" t="s">
        <v>598</v>
      </c>
      <c r="C81" s="352" t="str">
        <f>IF(OR(I81&lt;&gt;0,H81&lt;&gt;0),"x"," ")</f>
        <v xml:space="preserve"> </v>
      </c>
      <c r="D81" s="338"/>
      <c r="E81" s="358" t="str">
        <f>VLOOKUP($B81,DG!A:D,DG!C$2,)&amp;" : 25m"</f>
        <v>Cáp đồng trần M25mm2 : 25m</v>
      </c>
      <c r="F81" s="338" t="str">
        <f>VLOOKUP($B81,DG!A:D,DG!$D$2,)</f>
        <v>kg</v>
      </c>
      <c r="G81" s="357">
        <f>25*0.224</f>
        <v>5.6000000000000005</v>
      </c>
      <c r="H81" s="360">
        <f>H80*$G81</f>
        <v>0</v>
      </c>
      <c r="I81" s="360"/>
      <c r="J81" s="360"/>
      <c r="K81" s="360"/>
      <c r="L81" s="360"/>
      <c r="M81" s="332"/>
      <c r="N81" s="340"/>
      <c r="O81" s="341"/>
    </row>
    <row r="82" spans="1:15" ht="16.2" outlineLevel="1">
      <c r="A82" s="288"/>
      <c r="B82" s="351" t="s">
        <v>599</v>
      </c>
      <c r="C82" s="352" t="str">
        <f>IF(OR(I82&lt;&gt;0,H82&lt;&gt;0),"x"," ")</f>
        <v xml:space="preserve"> </v>
      </c>
      <c r="D82" s="338"/>
      <c r="E82" s="358" t="str">
        <f>VLOOKUP($B82,DG!A:D,DG!C$2,)</f>
        <v>Cọc tiếp đất Ø 16- 2,4m + kẹp cọc</v>
      </c>
      <c r="F82" s="338" t="str">
        <f>VLOOKUP($B82,DG!A:D,DG!$D$2,)</f>
        <v>bộ</v>
      </c>
      <c r="G82" s="359">
        <v>4</v>
      </c>
      <c r="H82" s="360">
        <f t="shared" ref="H82:H89" si="4">H81*$G82</f>
        <v>0</v>
      </c>
      <c r="I82" s="360"/>
      <c r="J82" s="360"/>
      <c r="K82" s="360"/>
      <c r="L82" s="360"/>
      <c r="M82" s="332"/>
      <c r="N82" s="340"/>
      <c r="O82" s="341"/>
    </row>
    <row r="83" spans="1:15" ht="16.2" outlineLevel="1">
      <c r="A83" s="288"/>
      <c r="B83" s="351" t="s">
        <v>620</v>
      </c>
      <c r="C83" s="352" t="str">
        <f>IF(OR(I83&lt;&gt;0,H83&lt;&gt;0),"x"," ")</f>
        <v xml:space="preserve"> </v>
      </c>
      <c r="D83" s="338"/>
      <c r="E83" s="358" t="str">
        <f>VLOOKUP($B83,DG!A:D,DG!C$2,)</f>
        <v>Kẹp nối đồng-nhôm</v>
      </c>
      <c r="F83" s="338" t="str">
        <f>VLOOKUP($B83,DG!A:D,DG!$D$2,)</f>
        <v>cái</v>
      </c>
      <c r="G83" s="359">
        <v>5</v>
      </c>
      <c r="H83" s="360">
        <f t="shared" si="4"/>
        <v>0</v>
      </c>
      <c r="I83" s="360"/>
      <c r="J83" s="360"/>
      <c r="K83" s="360"/>
      <c r="L83" s="360"/>
      <c r="M83" s="332"/>
      <c r="N83" s="340"/>
      <c r="O83" s="341"/>
    </row>
    <row r="84" spans="1:15" ht="16.2" outlineLevel="1">
      <c r="A84" s="288"/>
      <c r="B84" s="351" t="s">
        <v>609</v>
      </c>
      <c r="C84" s="352" t="str">
        <f>IF(OR(I84&lt;&gt;0,H84&lt;&gt;0),"x"," ")</f>
        <v xml:space="preserve"> </v>
      </c>
      <c r="D84" s="338"/>
      <c r="E84" s="358" t="str">
        <f>VLOOKUP($B84,DG!A:D,DG!C$2,)</f>
        <v>Đầu cosse ép Cu 25mm2</v>
      </c>
      <c r="F84" s="338" t="str">
        <f>VLOOKUP($B84,DG!A:D,DG!$D$2,)</f>
        <v>cái</v>
      </c>
      <c r="G84" s="359">
        <v>2</v>
      </c>
      <c r="H84" s="360">
        <f t="shared" si="4"/>
        <v>0</v>
      </c>
      <c r="I84" s="360"/>
      <c r="J84" s="360"/>
      <c r="K84" s="360"/>
      <c r="L84" s="360"/>
      <c r="M84" s="332"/>
      <c r="N84" s="340"/>
      <c r="O84" s="341"/>
    </row>
    <row r="85" spans="1:15" ht="16.2" outlineLevel="1">
      <c r="A85" s="288"/>
      <c r="B85" s="351" t="s">
        <v>610</v>
      </c>
      <c r="C85" s="352" t="str">
        <f>IF(OR(I85&lt;&gt;0,H85&lt;&gt;0),"x"," ")</f>
        <v xml:space="preserve"> </v>
      </c>
      <c r="D85" s="338"/>
      <c r="E85" s="358" t="str">
        <f>VLOOKUP($B85,DG!A:D,DG!C$2,)</f>
        <v>Boulon 12x40</v>
      </c>
      <c r="F85" s="338" t="str">
        <f>VLOOKUP($B85,DG!A:D,DG!$D$2,)</f>
        <v>bộ</v>
      </c>
      <c r="G85" s="359">
        <v>1</v>
      </c>
      <c r="H85" s="360">
        <f t="shared" si="4"/>
        <v>0</v>
      </c>
      <c r="I85" s="360"/>
      <c r="J85" s="360"/>
      <c r="K85" s="360"/>
      <c r="L85" s="360"/>
      <c r="M85" s="332"/>
      <c r="N85" s="340"/>
      <c r="O85" s="341"/>
    </row>
    <row r="86" spans="1:15" ht="16.2" outlineLevel="1">
      <c r="A86" s="288"/>
      <c r="B86" s="351" t="s">
        <v>602</v>
      </c>
      <c r="C86" s="352" t="str">
        <f>IF(OR(I86&lt;&gt;0,H86&lt;&gt;0),"x"," ")</f>
        <v xml:space="preserve"> </v>
      </c>
      <c r="D86" s="338" t="str">
        <f>VLOOKUP($B86,DG!A:D,DG!$B$2,)</f>
        <v>05.7001</v>
      </c>
      <c r="E86" s="366" t="str">
        <f>VLOOKUP($B86,DG!A:D,DG!C$2,)</f>
        <v xml:space="preserve">Kéo dây tiếp địa </v>
      </c>
      <c r="F86" s="338" t="str">
        <f>VLOOKUP($B86,DG!A:D,DG!$D$2,)</f>
        <v>mét</v>
      </c>
      <c r="G86" s="357">
        <f>G81</f>
        <v>5.6000000000000005</v>
      </c>
      <c r="H86" s="360">
        <f t="shared" si="4"/>
        <v>0</v>
      </c>
      <c r="I86" s="354"/>
      <c r="J86" s="354"/>
      <c r="K86" s="354"/>
      <c r="L86" s="354"/>
      <c r="M86" s="332"/>
      <c r="N86" s="340"/>
      <c r="O86" s="341"/>
    </row>
    <row r="87" spans="1:15" ht="16.2" outlineLevel="1">
      <c r="A87" s="288"/>
      <c r="B87" s="351" t="s">
        <v>603</v>
      </c>
      <c r="C87" s="352" t="str">
        <f>IF(OR(I87&lt;&gt;0,H87&lt;&gt;0),"x"," ")</f>
        <v xml:space="preserve"> </v>
      </c>
      <c r="D87" s="338" t="str">
        <f>VLOOKUP($B87,DG!A:D,DG!$B$2,)</f>
        <v>05.8103</v>
      </c>
      <c r="E87" s="366" t="str">
        <f>VLOOKUP($B87,DG!A:D,DG!C$2,)</f>
        <v>Đóng cọc tiếp địa đất cấp 3</v>
      </c>
      <c r="F87" s="338" t="str">
        <f>VLOOKUP($B87,DG!A:D,DG!$D$2,)</f>
        <v>cọc</v>
      </c>
      <c r="G87" s="359">
        <f>G82</f>
        <v>4</v>
      </c>
      <c r="H87" s="360">
        <f t="shared" si="4"/>
        <v>0</v>
      </c>
      <c r="I87" s="360"/>
      <c r="J87" s="360"/>
      <c r="K87" s="360"/>
      <c r="L87" s="360"/>
      <c r="M87" s="332"/>
      <c r="N87" s="340"/>
      <c r="O87" s="341"/>
    </row>
    <row r="88" spans="1:15" ht="16.2" outlineLevel="1">
      <c r="A88" s="288"/>
      <c r="B88" s="351" t="s">
        <v>604</v>
      </c>
      <c r="C88" s="352" t="str">
        <f>IF(OR(I88&lt;&gt;0,H88&lt;&gt;0),"x"," ")</f>
        <v xml:space="preserve"> </v>
      </c>
      <c r="D88" s="338" t="str">
        <f>VLOOKUP($B88,DG!A:D,DG!$B$2,)</f>
        <v>02.1120</v>
      </c>
      <c r="E88" s="366" t="str">
        <f>VLOOKUP($B88,DG!A:D,DG!C$2,)</f>
        <v>Bốc dỡ phụ kiện</v>
      </c>
      <c r="F88" s="338" t="str">
        <f>VLOOKUP($B88,DG!A:D,DG!$D$2,)</f>
        <v>tấn</v>
      </c>
      <c r="G88" s="353">
        <v>8.0000000000000002E-3</v>
      </c>
      <c r="H88" s="360">
        <f t="shared" si="4"/>
        <v>0</v>
      </c>
      <c r="I88" s="360"/>
      <c r="J88" s="360"/>
      <c r="K88" s="360"/>
      <c r="L88" s="360"/>
      <c r="M88" s="332"/>
      <c r="N88" s="340"/>
      <c r="O88" s="341"/>
    </row>
    <row r="89" spans="1:15" ht="16.2" outlineLevel="1">
      <c r="A89" s="288"/>
      <c r="B89" s="356" t="s">
        <v>605</v>
      </c>
      <c r="C89" s="352" t="str">
        <f>IF(OR(I89&lt;&gt;0,H89&lt;&gt;0),"x"," ")</f>
        <v xml:space="preserve"> </v>
      </c>
      <c r="D89" s="338" t="str">
        <f>VLOOKUP($B89,DG!A:C,2,)</f>
        <v>02.1351</v>
      </c>
      <c r="E89" s="366" t="str">
        <f>VLOOKUP($B89,DG!A:C,3,)</f>
        <v>V/c tiếp địa vào vị trí ( cự ly &lt;=100m)</v>
      </c>
      <c r="F89" s="338" t="str">
        <f>VLOOKUP($B89,DG!A:D,4,0)</f>
        <v>tấn</v>
      </c>
      <c r="G89" s="353">
        <v>8.0000000000000002E-3</v>
      </c>
      <c r="H89" s="360">
        <f t="shared" si="4"/>
        <v>0</v>
      </c>
      <c r="I89" s="354"/>
      <c r="J89" s="354"/>
      <c r="K89" s="354"/>
      <c r="L89" s="354"/>
      <c r="M89" s="332"/>
      <c r="N89" s="340"/>
      <c r="O89" s="341"/>
    </row>
    <row r="90" spans="1:15" ht="16.2" outlineLevel="1">
      <c r="A90" s="342" t="s">
        <v>631</v>
      </c>
      <c r="B90" s="343" t="s">
        <v>631</v>
      </c>
      <c r="C90" s="344" t="str">
        <f>IF(OR(I90&lt;&gt;0,H90&lt;&gt;0),"x"," ")</f>
        <v xml:space="preserve"> </v>
      </c>
      <c r="D90" s="345"/>
      <c r="E90" s="346" t="s">
        <v>632</v>
      </c>
      <c r="F90" s="347" t="s">
        <v>285</v>
      </c>
      <c r="G90" s="386"/>
      <c r="H90" s="349">
        <f>IFERROR(HLOOKUP(B90,'BKT-ThuHoi'!$5:$183,179,0),0)</f>
        <v>0</v>
      </c>
      <c r="I90" s="350"/>
      <c r="J90" s="350"/>
      <c r="K90" s="350"/>
      <c r="L90" s="350"/>
      <c r="M90" s="332"/>
      <c r="N90" s="340"/>
      <c r="O90" s="341"/>
    </row>
    <row r="91" spans="1:15" ht="16.2" outlineLevel="1">
      <c r="A91" s="288"/>
      <c r="B91" s="351" t="s">
        <v>598</v>
      </c>
      <c r="C91" s="352" t="str">
        <f>IF(OR(I91&lt;&gt;0,H91&lt;&gt;0),"x"," ")</f>
        <v xml:space="preserve"> </v>
      </c>
      <c r="D91" s="338"/>
      <c r="E91" s="358" t="str">
        <f>VLOOKUP($B91,DG!A:D,DG!C$2,)&amp;" (14m)"</f>
        <v>Cáp đồng trần M25mm2 (14m)</v>
      </c>
      <c r="F91" s="338" t="str">
        <f>VLOOKUP($B91,DG!A:D,DG!$D$2,)</f>
        <v>kg</v>
      </c>
      <c r="G91" s="357">
        <f>14*0.224</f>
        <v>3.1360000000000001</v>
      </c>
      <c r="H91" s="360">
        <f>H$90*$G91</f>
        <v>0</v>
      </c>
      <c r="I91" s="360"/>
      <c r="J91" s="360"/>
      <c r="K91" s="360"/>
      <c r="L91" s="360"/>
      <c r="M91" s="332"/>
      <c r="N91" s="340"/>
      <c r="O91" s="341"/>
    </row>
    <row r="92" spans="1:15" ht="16.2" outlineLevel="1">
      <c r="A92" s="288"/>
      <c r="B92" s="351" t="s">
        <v>599</v>
      </c>
      <c r="C92" s="352" t="str">
        <f>IF(OR(I92&lt;&gt;0,H92&lt;&gt;0),"x"," ")</f>
        <v xml:space="preserve"> </v>
      </c>
      <c r="D92" s="338"/>
      <c r="E92" s="358" t="str">
        <f>VLOOKUP($B92,DG!A:D,DG!C$2,)</f>
        <v>Cọc tiếp đất Ø 16- 2,4m + kẹp cọc</v>
      </c>
      <c r="F92" s="338" t="str">
        <f>VLOOKUP($B92,DG!A:D,DG!$D$2,)</f>
        <v>bộ</v>
      </c>
      <c r="G92" s="359">
        <v>1</v>
      </c>
      <c r="H92" s="360">
        <f t="shared" ref="H92:H99" si="5">H$90*$G92</f>
        <v>0</v>
      </c>
      <c r="I92" s="360"/>
      <c r="J92" s="360"/>
      <c r="K92" s="360"/>
      <c r="L92" s="360"/>
      <c r="M92" s="332"/>
      <c r="N92" s="340"/>
      <c r="O92" s="341"/>
    </row>
    <row r="93" spans="1:15" ht="16.2" outlineLevel="1">
      <c r="A93" s="288"/>
      <c r="B93" s="351" t="s">
        <v>620</v>
      </c>
      <c r="C93" s="352" t="str">
        <f>IF(OR(I93&lt;&gt;0,H93&lt;&gt;0),"x"," ")</f>
        <v xml:space="preserve"> </v>
      </c>
      <c r="D93" s="338"/>
      <c r="E93" s="358" t="str">
        <f>VLOOKUP($B93,DG!A:D,DG!C$2,)</f>
        <v>Kẹp nối đồng-nhôm</v>
      </c>
      <c r="F93" s="338" t="str">
        <f>VLOOKUP($B93,DG!A:D,DG!$D$2,)</f>
        <v>cái</v>
      </c>
      <c r="G93" s="359">
        <v>2</v>
      </c>
      <c r="H93" s="360">
        <f t="shared" si="5"/>
        <v>0</v>
      </c>
      <c r="I93" s="360"/>
      <c r="J93" s="360"/>
      <c r="K93" s="360"/>
      <c r="L93" s="360"/>
      <c r="M93" s="332"/>
      <c r="N93" s="340"/>
      <c r="O93" s="341"/>
    </row>
    <row r="94" spans="1:15" ht="16.2" outlineLevel="1">
      <c r="A94" s="288"/>
      <c r="B94" s="351" t="s">
        <v>609</v>
      </c>
      <c r="C94" s="352" t="str">
        <f>IF(OR(I94&lt;&gt;0,H94&lt;&gt;0),"x"," ")</f>
        <v xml:space="preserve"> </v>
      </c>
      <c r="D94" s="338"/>
      <c r="E94" s="358" t="str">
        <f>VLOOKUP($B94,DG!A:D,DG!C$2,)</f>
        <v>Đầu cosse ép Cu 25mm2</v>
      </c>
      <c r="F94" s="338" t="str">
        <f>VLOOKUP($B94,DG!A:D,DG!$D$2,)</f>
        <v>cái</v>
      </c>
      <c r="G94" s="359">
        <v>2</v>
      </c>
      <c r="H94" s="360">
        <f t="shared" si="5"/>
        <v>0</v>
      </c>
      <c r="I94" s="360"/>
      <c r="J94" s="360"/>
      <c r="K94" s="360"/>
      <c r="L94" s="360"/>
      <c r="M94" s="332"/>
      <c r="N94" s="340"/>
      <c r="O94" s="341"/>
    </row>
    <row r="95" spans="1:15" ht="16.2" outlineLevel="1">
      <c r="A95" s="288"/>
      <c r="B95" s="351" t="s">
        <v>610</v>
      </c>
      <c r="C95" s="352" t="str">
        <f>IF(OR(I95&lt;&gt;0,H95&lt;&gt;0),"x"," ")</f>
        <v xml:space="preserve"> </v>
      </c>
      <c r="D95" s="338"/>
      <c r="E95" s="358" t="str">
        <f>VLOOKUP($B95,DG!A:D,DG!C$2,)</f>
        <v>Boulon 12x40</v>
      </c>
      <c r="F95" s="338" t="str">
        <f>VLOOKUP($B95,DG!A:D,DG!$D$2,)</f>
        <v>bộ</v>
      </c>
      <c r="G95" s="359">
        <v>1</v>
      </c>
      <c r="H95" s="360">
        <f t="shared" si="5"/>
        <v>0</v>
      </c>
      <c r="I95" s="360"/>
      <c r="J95" s="360"/>
      <c r="K95" s="360"/>
      <c r="L95" s="360"/>
      <c r="M95" s="332"/>
      <c r="N95" s="340"/>
      <c r="O95" s="341"/>
    </row>
    <row r="96" spans="1:15" ht="16.2" outlineLevel="1">
      <c r="A96" s="288"/>
      <c r="B96" s="351" t="s">
        <v>602</v>
      </c>
      <c r="C96" s="352" t="str">
        <f>IF(OR(I96&lt;&gt;0,H96&lt;&gt;0),"x"," ")</f>
        <v xml:space="preserve"> </v>
      </c>
      <c r="D96" s="338" t="str">
        <f>VLOOKUP($B96,DG!A:D,DG!$B$2,)</f>
        <v>05.7001</v>
      </c>
      <c r="E96" s="366" t="str">
        <f>VLOOKUP($B96,DG!A:D,DG!C$2,)</f>
        <v xml:space="preserve">Kéo dây tiếp địa </v>
      </c>
      <c r="F96" s="338" t="str">
        <f>VLOOKUP($B96,DG!A:D,DG!$D$2,)</f>
        <v>mét</v>
      </c>
      <c r="G96" s="357">
        <f>G91</f>
        <v>3.1360000000000001</v>
      </c>
      <c r="H96" s="360">
        <f t="shared" si="5"/>
        <v>0</v>
      </c>
      <c r="I96" s="354"/>
      <c r="J96" s="354"/>
      <c r="K96" s="354"/>
      <c r="L96" s="354"/>
      <c r="M96" s="332"/>
      <c r="N96" s="340"/>
      <c r="O96" s="341"/>
    </row>
    <row r="97" spans="1:15" ht="16.2" outlineLevel="1">
      <c r="A97" s="288"/>
      <c r="B97" s="351" t="s">
        <v>603</v>
      </c>
      <c r="C97" s="352" t="str">
        <f>IF(OR(I97&lt;&gt;0,H97&lt;&gt;0),"x"," ")</f>
        <v xml:space="preserve"> </v>
      </c>
      <c r="D97" s="338" t="str">
        <f>VLOOKUP($B97,DG!A:D,DG!$B$2,)</f>
        <v>05.8103</v>
      </c>
      <c r="E97" s="366" t="str">
        <f>VLOOKUP($B97,DG!A:D,DG!C$2,)</f>
        <v>Đóng cọc tiếp địa đất cấp 3</v>
      </c>
      <c r="F97" s="338" t="str">
        <f>VLOOKUP($B97,DG!A:D,DG!$D$2,)</f>
        <v>cọc</v>
      </c>
      <c r="G97" s="359">
        <v>1</v>
      </c>
      <c r="H97" s="360">
        <f t="shared" si="5"/>
        <v>0</v>
      </c>
      <c r="I97" s="360"/>
      <c r="J97" s="360"/>
      <c r="K97" s="360"/>
      <c r="L97" s="360"/>
      <c r="M97" s="332"/>
      <c r="N97" s="340"/>
      <c r="O97" s="341"/>
    </row>
    <row r="98" spans="1:15" ht="16.2" outlineLevel="1">
      <c r="A98" s="288"/>
      <c r="B98" s="351" t="s">
        <v>604</v>
      </c>
      <c r="C98" s="352" t="str">
        <f>IF(OR(I98&lt;&gt;0,H98&lt;&gt;0),"x"," ")</f>
        <v xml:space="preserve"> </v>
      </c>
      <c r="D98" s="338" t="str">
        <f>VLOOKUP($B98,DG!A:D,DG!$B$2,)</f>
        <v>02.1120</v>
      </c>
      <c r="E98" s="366" t="str">
        <f>VLOOKUP($B98,DG!A:D,DG!C$2,)</f>
        <v>Bốc dỡ phụ kiện</v>
      </c>
      <c r="F98" s="338" t="str">
        <f>VLOOKUP($B98,DG!A:D,DG!$D$2,)</f>
        <v>tấn</v>
      </c>
      <c r="G98" s="353"/>
      <c r="H98" s="360">
        <f t="shared" si="5"/>
        <v>0</v>
      </c>
      <c r="I98" s="360"/>
      <c r="J98" s="360"/>
      <c r="K98" s="360"/>
      <c r="L98" s="360"/>
      <c r="M98" s="332"/>
      <c r="N98" s="340"/>
      <c r="O98" s="341"/>
    </row>
    <row r="99" spans="1:15" ht="16.2" outlineLevel="1">
      <c r="A99" s="288"/>
      <c r="B99" s="356" t="s">
        <v>605</v>
      </c>
      <c r="C99" s="352" t="str">
        <f>IF(OR(I99&lt;&gt;0,H99&lt;&gt;0),"x"," ")</f>
        <v xml:space="preserve"> </v>
      </c>
      <c r="D99" s="338" t="str">
        <f>VLOOKUP($B99,DG!A:C,2,)</f>
        <v>02.1351</v>
      </c>
      <c r="E99" s="366" t="str">
        <f>VLOOKUP($B99,DG!A:C,3,)</f>
        <v>V/c tiếp địa vào vị trí ( cự ly &lt;=100m)</v>
      </c>
      <c r="F99" s="338" t="str">
        <f>VLOOKUP($B99,DG!A:D,4,0)</f>
        <v>tấn</v>
      </c>
      <c r="G99" s="353"/>
      <c r="H99" s="360">
        <f t="shared" si="5"/>
        <v>0</v>
      </c>
      <c r="I99" s="354"/>
      <c r="J99" s="354"/>
      <c r="K99" s="354"/>
      <c r="L99" s="354"/>
      <c r="M99" s="332"/>
      <c r="N99" s="340"/>
      <c r="O99" s="341"/>
    </row>
    <row r="100" spans="1:15" ht="16.2" outlineLevel="1">
      <c r="A100" s="342" t="s">
        <v>633</v>
      </c>
      <c r="B100" s="343" t="s">
        <v>633</v>
      </c>
      <c r="C100" s="344" t="str">
        <f>IF(OR(I100&lt;&gt;0,H100&lt;&gt;0),"x"," ")</f>
        <v xml:space="preserve"> </v>
      </c>
      <c r="D100" s="345"/>
      <c r="E100" s="346" t="s">
        <v>634</v>
      </c>
      <c r="F100" s="347" t="s">
        <v>285</v>
      </c>
      <c r="G100" s="386"/>
      <c r="H100" s="349">
        <f>IFERROR(HLOOKUP(B100,'BKT-ThuHoi'!$5:$183,179,0),0)</f>
        <v>0</v>
      </c>
      <c r="I100" s="350"/>
      <c r="J100" s="350"/>
      <c r="K100" s="350"/>
      <c r="L100" s="350"/>
      <c r="M100" s="332"/>
      <c r="N100" s="340"/>
      <c r="O100" s="341"/>
    </row>
    <row r="101" spans="1:15" ht="16.2" outlineLevel="1">
      <c r="A101" s="288"/>
      <c r="B101" s="351" t="s">
        <v>598</v>
      </c>
      <c r="C101" s="352" t="str">
        <f>IF(OR(I101&lt;&gt;0,H101&lt;&gt;0),"x"," ")</f>
        <v xml:space="preserve"> </v>
      </c>
      <c r="D101" s="338"/>
      <c r="E101" s="358" t="str">
        <f>VLOOKUP($B101,DG!A:D,DG!C$2,)&amp;" (22m)"</f>
        <v>Cáp đồng trần M25mm2 (22m)</v>
      </c>
      <c r="F101" s="338" t="str">
        <f>VLOOKUP($B101,DG!A:D,DG!$D$2,)</f>
        <v>kg</v>
      </c>
      <c r="G101" s="357">
        <f>22*0.224</f>
        <v>4.9279999999999999</v>
      </c>
      <c r="H101" s="360">
        <f t="shared" ref="H101:H103" si="6">H$100*$G101</f>
        <v>0</v>
      </c>
      <c r="I101" s="360"/>
      <c r="J101" s="360"/>
      <c r="K101" s="360"/>
      <c r="L101" s="360"/>
      <c r="M101" s="332"/>
      <c r="N101" s="340"/>
      <c r="O101" s="341"/>
    </row>
    <row r="102" spans="1:15" ht="16.2" outlineLevel="1">
      <c r="A102" s="288"/>
      <c r="B102" s="351" t="s">
        <v>599</v>
      </c>
      <c r="C102" s="352" t="str">
        <f>IF(OR(I102&lt;&gt;0,H102&lt;&gt;0),"x"," ")</f>
        <v xml:space="preserve"> </v>
      </c>
      <c r="D102" s="338"/>
      <c r="E102" s="358" t="str">
        <f>VLOOKUP($B102,DG!A:D,DG!C$2,)</f>
        <v>Cọc tiếp đất Ø 16- 2,4m + kẹp cọc</v>
      </c>
      <c r="F102" s="338" t="str">
        <f>VLOOKUP($B102,DG!A:D,DG!$D$2,)</f>
        <v>bộ</v>
      </c>
      <c r="G102" s="359">
        <v>1</v>
      </c>
      <c r="H102" s="360">
        <f t="shared" si="6"/>
        <v>0</v>
      </c>
      <c r="I102" s="360"/>
      <c r="J102" s="360"/>
      <c r="K102" s="360"/>
      <c r="L102" s="360"/>
      <c r="M102" s="332"/>
      <c r="N102" s="340"/>
      <c r="O102" s="341"/>
    </row>
    <row r="103" spans="1:15" ht="16.2" outlineLevel="1">
      <c r="A103" s="288"/>
      <c r="B103" s="351" t="s">
        <v>620</v>
      </c>
      <c r="C103" s="352" t="str">
        <f>IF(OR(I103&lt;&gt;0,H103&lt;&gt;0),"x"," ")</f>
        <v xml:space="preserve"> </v>
      </c>
      <c r="D103" s="338"/>
      <c r="E103" s="358" t="str">
        <f>VLOOKUP($B103,DG!A:D,DG!C$2,)</f>
        <v>Kẹp nối đồng-nhôm</v>
      </c>
      <c r="F103" s="338" t="str">
        <f>VLOOKUP($B103,DG!A:D,DG!$D$2,)</f>
        <v>cái</v>
      </c>
      <c r="G103" s="359">
        <v>2</v>
      </c>
      <c r="H103" s="360">
        <f t="shared" si="6"/>
        <v>0</v>
      </c>
      <c r="I103" s="360"/>
      <c r="J103" s="360"/>
      <c r="K103" s="360"/>
      <c r="L103" s="360"/>
      <c r="M103" s="332"/>
      <c r="N103" s="340"/>
      <c r="O103" s="341"/>
    </row>
    <row r="104" spans="1:15" ht="16.2" outlineLevel="1">
      <c r="A104" s="288"/>
      <c r="B104" s="351" t="s">
        <v>602</v>
      </c>
      <c r="C104" s="352" t="str">
        <f>IF(OR(I104&lt;&gt;0,H104&lt;&gt;0),"x"," ")</f>
        <v xml:space="preserve"> </v>
      </c>
      <c r="D104" s="338" t="str">
        <f>VLOOKUP($B104,DG!A:D,DG!$B$2,)</f>
        <v>05.7001</v>
      </c>
      <c r="E104" s="366" t="str">
        <f>VLOOKUP($B104,DG!A:D,DG!C$2,)</f>
        <v xml:space="preserve">Kéo dây tiếp địa </v>
      </c>
      <c r="F104" s="338" t="str">
        <f>VLOOKUP($B104,DG!A:D,DG!$D$2,)</f>
        <v>mét</v>
      </c>
      <c r="G104" s="357">
        <f>G101</f>
        <v>4.9279999999999999</v>
      </c>
      <c r="H104" s="354"/>
      <c r="I104" s="354"/>
      <c r="J104" s="354"/>
      <c r="K104" s="354"/>
      <c r="L104" s="354"/>
      <c r="M104" s="332"/>
      <c r="N104" s="340"/>
      <c r="O104" s="341"/>
    </row>
    <row r="105" spans="1:15" ht="16.2" outlineLevel="1">
      <c r="A105" s="288"/>
      <c r="B105" s="351" t="s">
        <v>603</v>
      </c>
      <c r="C105" s="352" t="str">
        <f>IF(OR(I105&lt;&gt;0,H105&lt;&gt;0),"x"," ")</f>
        <v xml:space="preserve"> </v>
      </c>
      <c r="D105" s="338" t="str">
        <f>VLOOKUP($B105,DG!A:D,DG!$B$2,)</f>
        <v>05.8103</v>
      </c>
      <c r="E105" s="366" t="str">
        <f>VLOOKUP($B105,DG!A:D,DG!C$2,)</f>
        <v>Đóng cọc tiếp địa đất cấp 3</v>
      </c>
      <c r="F105" s="338" t="str">
        <f>VLOOKUP($B105,DG!A:D,DG!$D$2,)</f>
        <v>cọc</v>
      </c>
      <c r="G105" s="359">
        <v>1</v>
      </c>
      <c r="H105" s="360"/>
      <c r="I105" s="360"/>
      <c r="J105" s="360"/>
      <c r="K105" s="360"/>
      <c r="L105" s="360"/>
      <c r="M105" s="332"/>
      <c r="N105" s="340"/>
      <c r="O105" s="341"/>
    </row>
    <row r="106" spans="1:15" ht="16.2" outlineLevel="1">
      <c r="A106" s="288"/>
      <c r="B106" s="351" t="s">
        <v>604</v>
      </c>
      <c r="C106" s="352" t="str">
        <f>IF(OR(I106&lt;&gt;0,H106&lt;&gt;0),"x"," ")</f>
        <v xml:space="preserve"> </v>
      </c>
      <c r="D106" s="338" t="str">
        <f>VLOOKUP($B106,DG!A:D,DG!$B$2,)</f>
        <v>02.1120</v>
      </c>
      <c r="E106" s="366" t="str">
        <f>VLOOKUP($B106,DG!A:D,DG!C$2,)</f>
        <v>Bốc dỡ phụ kiện</v>
      </c>
      <c r="F106" s="338" t="str">
        <f>VLOOKUP($B106,DG!A:D,DG!$D$2,)</f>
        <v>tấn</v>
      </c>
      <c r="G106" s="353">
        <v>8.0000000000000002E-3</v>
      </c>
      <c r="H106" s="360"/>
      <c r="I106" s="360"/>
      <c r="J106" s="360"/>
      <c r="K106" s="360"/>
      <c r="L106" s="360"/>
      <c r="M106" s="332"/>
      <c r="N106" s="340"/>
      <c r="O106" s="341"/>
    </row>
    <row r="107" spans="1:15" ht="16.2" outlineLevel="1">
      <c r="A107" s="288"/>
      <c r="B107" s="356" t="s">
        <v>605</v>
      </c>
      <c r="C107" s="352" t="str">
        <f>IF(OR(I107&lt;&gt;0,H107&lt;&gt;0),"x"," ")</f>
        <v xml:space="preserve"> </v>
      </c>
      <c r="D107" s="338" t="str">
        <f>VLOOKUP($B107,DG!A:C,2,)</f>
        <v>02.1351</v>
      </c>
      <c r="E107" s="366" t="str">
        <f>VLOOKUP($B107,DG!A:C,3,)</f>
        <v>V/c tiếp địa vào vị trí ( cự ly &lt;=100m)</v>
      </c>
      <c r="F107" s="338" t="str">
        <f>VLOOKUP($B107,DG!A:D,4,0)</f>
        <v>tấn</v>
      </c>
      <c r="G107" s="353">
        <v>8.0000000000000002E-3</v>
      </c>
      <c r="H107" s="354"/>
      <c r="I107" s="354"/>
      <c r="J107" s="354"/>
      <c r="K107" s="354"/>
      <c r="L107" s="354"/>
      <c r="M107" s="332"/>
      <c r="N107" s="340"/>
      <c r="O107" s="341"/>
    </row>
    <row r="108" spans="1:15" ht="16.2" outlineLevel="1">
      <c r="A108" s="342" t="s">
        <v>635</v>
      </c>
      <c r="B108" s="343" t="s">
        <v>635</v>
      </c>
      <c r="C108" s="344" t="str">
        <f>IF(OR(I108&lt;&gt;0,H108&lt;&gt;0),"x"," ")</f>
        <v xml:space="preserve"> </v>
      </c>
      <c r="D108" s="345"/>
      <c r="E108" s="346" t="s">
        <v>636</v>
      </c>
      <c r="F108" s="347" t="s">
        <v>285</v>
      </c>
      <c r="G108" s="386"/>
      <c r="H108" s="349">
        <f>IFERROR(HLOOKUP(B108,'BKT-ThuHoi'!$5:$183,179,0),0)</f>
        <v>0</v>
      </c>
      <c r="I108" s="350"/>
      <c r="J108" s="350"/>
      <c r="K108" s="350"/>
      <c r="L108" s="350"/>
      <c r="M108" s="332"/>
      <c r="N108" s="340"/>
      <c r="O108" s="341"/>
    </row>
    <row r="109" spans="1:15" ht="16.2" outlineLevel="1">
      <c r="A109" s="288"/>
      <c r="B109" s="351" t="s">
        <v>637</v>
      </c>
      <c r="C109" s="352" t="str">
        <f>IF(OR(I109&lt;&gt;0,H109&lt;&gt;0),"x"," ")</f>
        <v xml:space="preserve"> </v>
      </c>
      <c r="D109" s="338"/>
      <c r="E109" s="358" t="str">
        <f>VLOOKUP($B109,DG!A:D,DG!C$2,)&amp;" (6m)"</f>
        <v>Cáp đồng trần M25mm2 (6m)</v>
      </c>
      <c r="F109" s="338" t="str">
        <f>VLOOKUP($B109,DG!A:D,DG!$D$2,)</f>
        <v>kg</v>
      </c>
      <c r="G109" s="357">
        <f>6*0.224</f>
        <v>1.3440000000000001</v>
      </c>
      <c r="H109" s="360">
        <f t="shared" ref="H109:H114" si="7">H$100*$G109</f>
        <v>0</v>
      </c>
      <c r="I109" s="360"/>
      <c r="J109" s="360"/>
      <c r="K109" s="360"/>
      <c r="L109" s="360"/>
      <c r="M109" s="332"/>
      <c r="N109" s="340"/>
      <c r="O109" s="341"/>
    </row>
    <row r="110" spans="1:15" ht="16.2" outlineLevel="1">
      <c r="A110" s="288"/>
      <c r="B110" s="351" t="s">
        <v>628</v>
      </c>
      <c r="C110" s="352" t="str">
        <f>IF(OR(I110&lt;&gt;0,H110&lt;&gt;0),"x"," ")</f>
        <v xml:space="preserve"> </v>
      </c>
      <c r="D110" s="338"/>
      <c r="E110" s="366" t="str">
        <f>VLOOKUP($B110,DG!A:D,DG!C$2,)&amp;": 0,3x0,3x1"</f>
        <v>Đào rãnh tiếp địa đất cấp 3: 0,3x0,3x1</v>
      </c>
      <c r="F110" s="338" t="str">
        <f>VLOOKUP($B110,DG!A:D,DG!$D$2,)</f>
        <v>m3</v>
      </c>
      <c r="G110" s="385">
        <f>0.3*1*0.3</f>
        <v>0.09</v>
      </c>
      <c r="H110" s="360">
        <f t="shared" si="7"/>
        <v>0</v>
      </c>
      <c r="I110" s="360"/>
      <c r="J110" s="360"/>
      <c r="K110" s="360"/>
      <c r="L110" s="360"/>
      <c r="M110" s="332"/>
      <c r="N110" s="340"/>
      <c r="O110" s="341"/>
    </row>
    <row r="111" spans="1:15" ht="16.2" outlineLevel="1">
      <c r="A111" s="288"/>
      <c r="B111" s="351" t="s">
        <v>638</v>
      </c>
      <c r="C111" s="352" t="str">
        <f>IF(OR(I111&lt;&gt;0,H111&lt;&gt;0),"x"," ")</f>
        <v xml:space="preserve"> </v>
      </c>
      <c r="D111" s="338"/>
      <c r="E111" s="366" t="str">
        <f>VLOOKUP($B111,DG!A:D,DG!C$2,)&amp;": 0,3x0,3x1"</f>
        <v>Đắp đất rãnh tiếp độ chặt k=0,95: 0,3x0,3x1</v>
      </c>
      <c r="F111" s="338" t="str">
        <f>VLOOKUP($B111,DG!A:D,DG!$D$2,)</f>
        <v>m3</v>
      </c>
      <c r="G111" s="385">
        <f>G110</f>
        <v>0.09</v>
      </c>
      <c r="H111" s="360">
        <f t="shared" si="7"/>
        <v>0</v>
      </c>
      <c r="I111" s="360"/>
      <c r="J111" s="360"/>
      <c r="K111" s="360"/>
      <c r="L111" s="360"/>
      <c r="M111" s="332"/>
      <c r="N111" s="340"/>
      <c r="O111" s="341"/>
    </row>
    <row r="112" spans="1:15" ht="16.2" outlineLevel="1">
      <c r="A112" s="288"/>
      <c r="B112" s="351" t="s">
        <v>639</v>
      </c>
      <c r="C112" s="352" t="str">
        <f>IF(OR(I112&lt;&gt;0,H112&lt;&gt;0),"x"," ")</f>
        <v xml:space="preserve"> </v>
      </c>
      <c r="D112" s="338"/>
      <c r="E112" s="358" t="str">
        <f>VLOOKUP($B112,DG!A:D,DG!C$2,)</f>
        <v>Đầu cosse ép Cu 25mm2</v>
      </c>
      <c r="F112" s="338" t="str">
        <f>VLOOKUP($B112,DG!A:D,DG!$D$2,)</f>
        <v>cái</v>
      </c>
      <c r="G112" s="359">
        <v>1</v>
      </c>
      <c r="H112" s="360">
        <f t="shared" si="7"/>
        <v>0</v>
      </c>
      <c r="I112" s="360"/>
      <c r="J112" s="360"/>
      <c r="K112" s="360"/>
      <c r="L112" s="360"/>
      <c r="M112" s="332"/>
      <c r="N112" s="340"/>
      <c r="O112" s="341"/>
    </row>
    <row r="113" spans="1:15" ht="16.2" outlineLevel="1">
      <c r="A113" s="288"/>
      <c r="B113" s="351" t="s">
        <v>640</v>
      </c>
      <c r="C113" s="352" t="str">
        <f>IF(OR(I113&lt;&gt;0,H113&lt;&gt;0),"x"," ")</f>
        <v xml:space="preserve"> </v>
      </c>
      <c r="D113" s="338"/>
      <c r="E113" s="358" t="str">
        <f>VLOOKUP($B113,DG!A:D,DG!C$2,)</f>
        <v>Boulon 12x40</v>
      </c>
      <c r="F113" s="338" t="str">
        <f>VLOOKUP($B113,DG!A:D,DG!$D$2,)</f>
        <v>bộ</v>
      </c>
      <c r="G113" s="359">
        <v>1</v>
      </c>
      <c r="H113" s="360">
        <f t="shared" si="7"/>
        <v>0</v>
      </c>
      <c r="I113" s="360"/>
      <c r="J113" s="360"/>
      <c r="K113" s="360"/>
      <c r="L113" s="360"/>
      <c r="M113" s="332"/>
      <c r="N113" s="340"/>
      <c r="O113" s="341"/>
    </row>
    <row r="114" spans="1:15" ht="16.2" outlineLevel="1">
      <c r="A114" s="288"/>
      <c r="B114" s="351" t="s">
        <v>641</v>
      </c>
      <c r="C114" s="352" t="str">
        <f>IF(OR(I114&lt;&gt;0,H114&lt;&gt;0),"x"," ")</f>
        <v xml:space="preserve"> </v>
      </c>
      <c r="D114" s="338"/>
      <c r="E114" s="358" t="str">
        <f>VLOOKUP($B114,DG!A:D,DG!C$2,)</f>
        <v xml:space="preserve">Ống PVC D21x1,6mm </v>
      </c>
      <c r="F114" s="338" t="str">
        <f>VLOOKUP($B114,DG!A:D,DG!$D$2,)</f>
        <v>m</v>
      </c>
      <c r="G114" s="359">
        <v>3</v>
      </c>
      <c r="H114" s="360">
        <f t="shared" si="7"/>
        <v>0</v>
      </c>
      <c r="I114" s="360"/>
      <c r="J114" s="360"/>
      <c r="K114" s="360"/>
      <c r="L114" s="360"/>
      <c r="M114" s="332"/>
      <c r="N114" s="340"/>
      <c r="O114" s="341"/>
    </row>
    <row r="115" spans="1:15" ht="16.2" outlineLevel="1">
      <c r="A115" s="288"/>
      <c r="B115" s="351" t="s">
        <v>602</v>
      </c>
      <c r="C115" s="352" t="str">
        <f>IF(OR(I115&lt;&gt;0,H115&lt;&gt;0),"x"," ")</f>
        <v xml:space="preserve"> </v>
      </c>
      <c r="D115" s="338" t="str">
        <f>VLOOKUP($B115,DG!A:D,DG!$B$2,)</f>
        <v>05.7001</v>
      </c>
      <c r="E115" s="366" t="str">
        <f>VLOOKUP($B115,DG!A:D,DG!C$2,)</f>
        <v xml:space="preserve">Kéo dây tiếp địa </v>
      </c>
      <c r="F115" s="338" t="str">
        <f>VLOOKUP($B115,DG!A:D,DG!$D$2,)</f>
        <v>mét</v>
      </c>
      <c r="G115" s="359">
        <v>1</v>
      </c>
      <c r="H115" s="354"/>
      <c r="I115" s="354"/>
      <c r="J115" s="354"/>
      <c r="K115" s="354"/>
      <c r="L115" s="354"/>
      <c r="M115" s="332"/>
      <c r="N115" s="340"/>
      <c r="O115" s="341"/>
    </row>
    <row r="116" spans="1:15" ht="16.2" outlineLevel="1">
      <c r="A116" s="288"/>
      <c r="B116" s="351" t="s">
        <v>642</v>
      </c>
      <c r="C116" s="352" t="str">
        <f>IF(OR(I116&lt;&gt;0,H116&lt;&gt;0),"x"," ")</f>
        <v xml:space="preserve"> </v>
      </c>
      <c r="D116" s="338">
        <f>VLOOKUP($B116,DG!A:D,DG!$B$2,)</f>
        <v>0</v>
      </c>
      <c r="E116" s="358" t="str">
        <f>VLOOKUP($B116,DG!A:D,DG!C$2,)</f>
        <v>Kẹp ép cỡ dây 25mm2</v>
      </c>
      <c r="F116" s="338" t="str">
        <f>VLOOKUP($B116,DG!A:D,DG!$D$2,)</f>
        <v>cái</v>
      </c>
      <c r="G116" s="359">
        <v>1</v>
      </c>
      <c r="H116" s="360"/>
      <c r="I116" s="360"/>
      <c r="J116" s="360"/>
      <c r="K116" s="360"/>
      <c r="L116" s="360"/>
      <c r="M116" s="332"/>
      <c r="N116" s="340"/>
      <c r="O116" s="341"/>
    </row>
    <row r="117" spans="1:15" ht="16.2" outlineLevel="1">
      <c r="A117" s="342" t="s">
        <v>643</v>
      </c>
      <c r="B117" s="343" t="s">
        <v>643</v>
      </c>
      <c r="C117" s="344" t="str">
        <f>IF(OR(I117&lt;&gt;0,H117&lt;&gt;0),"x"," ")</f>
        <v xml:space="preserve"> </v>
      </c>
      <c r="D117" s="345"/>
      <c r="E117" s="346" t="s">
        <v>644</v>
      </c>
      <c r="F117" s="347" t="s">
        <v>285</v>
      </c>
      <c r="G117" s="386"/>
      <c r="H117" s="349">
        <f>IFERROR(HLOOKUP(B117,'BKT-ThuHoi'!$5:$183,179,0),0)</f>
        <v>0</v>
      </c>
      <c r="I117" s="350"/>
      <c r="J117" s="350"/>
      <c r="K117" s="350"/>
      <c r="L117" s="350"/>
      <c r="M117" s="332"/>
      <c r="N117" s="340"/>
      <c r="O117" s="341"/>
    </row>
    <row r="118" spans="1:15" ht="16.2" outlineLevel="1">
      <c r="A118" s="288"/>
      <c r="B118" s="351" t="s">
        <v>598</v>
      </c>
      <c r="C118" s="352" t="str">
        <f>IF(OR(I118&lt;&gt;0,H118&lt;&gt;0),"x"," ")</f>
        <v xml:space="preserve"> </v>
      </c>
      <c r="D118" s="338"/>
      <c r="E118" s="358" t="str">
        <f>VLOOKUP($B118,DG!A:D,DG!C$2,)&amp;" (53m)"</f>
        <v>Cáp đồng trần M25mm2 (53m)</v>
      </c>
      <c r="F118" s="338" t="str">
        <f>VLOOKUP($B118,DG!A:D,DG!$D$2,)</f>
        <v>kg</v>
      </c>
      <c r="G118" s="357">
        <f>53*0.224</f>
        <v>11.872</v>
      </c>
      <c r="H118" s="360">
        <f t="shared" ref="H118:H125" si="8">H$100*$G118</f>
        <v>0</v>
      </c>
      <c r="I118" s="360"/>
      <c r="J118" s="360"/>
      <c r="K118" s="360"/>
      <c r="L118" s="360"/>
      <c r="M118" s="332"/>
      <c r="N118" s="340"/>
      <c r="O118" s="341"/>
    </row>
    <row r="119" spans="1:15" ht="16.2" outlineLevel="1">
      <c r="A119" s="288"/>
      <c r="B119" s="351" t="s">
        <v>599</v>
      </c>
      <c r="C119" s="352" t="str">
        <f>IF(OR(I119&lt;&gt;0,H119&lt;&gt;0),"x"," ")</f>
        <v xml:space="preserve"> </v>
      </c>
      <c r="D119" s="338"/>
      <c r="E119" s="358" t="str">
        <f>VLOOKUP($B119,DG!A:D,DG!C$2,)</f>
        <v>Cọc tiếp đất Ø 16- 2,4m + kẹp cọc</v>
      </c>
      <c r="F119" s="338" t="str">
        <f>VLOOKUP($B119,DG!A:D,DG!$D$2,)</f>
        <v>bộ</v>
      </c>
      <c r="G119" s="359">
        <v>9</v>
      </c>
      <c r="H119" s="360">
        <f t="shared" si="8"/>
        <v>0</v>
      </c>
      <c r="I119" s="360"/>
      <c r="J119" s="360"/>
      <c r="K119" s="360"/>
      <c r="L119" s="360"/>
      <c r="M119" s="332"/>
      <c r="N119" s="340"/>
      <c r="O119" s="341"/>
    </row>
    <row r="120" spans="1:15" ht="16.2" outlineLevel="1">
      <c r="A120" s="288"/>
      <c r="B120" s="351" t="s">
        <v>645</v>
      </c>
      <c r="C120" s="352" t="str">
        <f>IF(OR(I120&lt;&gt;0,H120&lt;&gt;0),"x"," ")</f>
        <v xml:space="preserve"> </v>
      </c>
      <c r="D120" s="338"/>
      <c r="E120" s="358" t="str">
        <f>VLOOKUP($B120,DG!A:D,DG!C$2,)</f>
        <v>Kẹp ép WR cỡ dây 50mm2</v>
      </c>
      <c r="F120" s="338" t="str">
        <f>VLOOKUP($B120,DG!A:D,DG!$D$2,)</f>
        <v>cái</v>
      </c>
      <c r="G120" s="359">
        <v>2</v>
      </c>
      <c r="H120" s="360">
        <f t="shared" si="8"/>
        <v>0</v>
      </c>
      <c r="I120" s="360"/>
      <c r="J120" s="360"/>
      <c r="K120" s="360"/>
      <c r="L120" s="360"/>
      <c r="M120" s="332"/>
      <c r="N120" s="340"/>
      <c r="O120" s="341"/>
    </row>
    <row r="121" spans="1:15" ht="16.2" outlineLevel="1">
      <c r="A121" s="288"/>
      <c r="B121" s="351" t="s">
        <v>646</v>
      </c>
      <c r="C121" s="352" t="str">
        <f>IF(OR(I121&lt;&gt;0,H121&lt;&gt;0),"x"," ")</f>
        <v xml:space="preserve"> </v>
      </c>
      <c r="D121" s="338"/>
      <c r="E121" s="358" t="str">
        <f>VLOOKUP($B121,DG!A:D,DG!C$2,)</f>
        <v>Kẹp ép cỡ dây 25mm2</v>
      </c>
      <c r="F121" s="338" t="str">
        <f>VLOOKUP($B121,DG!A:D,DG!$D$2,)</f>
        <v>cái</v>
      </c>
      <c r="G121" s="359">
        <v>11</v>
      </c>
      <c r="H121" s="360">
        <f t="shared" si="8"/>
        <v>0</v>
      </c>
      <c r="I121" s="360"/>
      <c r="J121" s="360"/>
      <c r="K121" s="360"/>
      <c r="L121" s="360"/>
      <c r="M121" s="332"/>
      <c r="N121" s="340"/>
      <c r="O121" s="341"/>
    </row>
    <row r="122" spans="1:15" ht="16.2" outlineLevel="1">
      <c r="A122" s="288"/>
      <c r="B122" s="351" t="s">
        <v>625</v>
      </c>
      <c r="C122" s="352" t="str">
        <f>IF(OR(I122&lt;&gt;0,H122&lt;&gt;0),"x"," ")</f>
        <v xml:space="preserve"> </v>
      </c>
      <c r="D122" s="338"/>
      <c r="E122" s="358" t="str">
        <f>VLOOKUP($B122,DG!A:D,DG!C$2,)</f>
        <v xml:space="preserve">Ống PVC D21x1,6mm </v>
      </c>
      <c r="F122" s="338" t="str">
        <f>VLOOKUP($B122,DG!A:D,DG!$D$2,)</f>
        <v>m</v>
      </c>
      <c r="G122" s="359">
        <v>6</v>
      </c>
      <c r="H122" s="360">
        <f t="shared" si="8"/>
        <v>0</v>
      </c>
      <c r="I122" s="360"/>
      <c r="J122" s="360"/>
      <c r="K122" s="360"/>
      <c r="L122" s="360"/>
      <c r="M122" s="332"/>
      <c r="N122" s="340"/>
      <c r="O122" s="341"/>
    </row>
    <row r="123" spans="1:15" ht="16.2" outlineLevel="1">
      <c r="A123" s="288"/>
      <c r="B123" s="351" t="s">
        <v>647</v>
      </c>
      <c r="C123" s="352" t="str">
        <f>IF(OR(I123&lt;&gt;0,H123&lt;&gt;0),"x"," ")</f>
        <v xml:space="preserve"> </v>
      </c>
      <c r="D123" s="338"/>
      <c r="E123" s="358" t="str">
        <f>VLOOKUP($B123,DG!A:D,DG!C$2,)</f>
        <v>Cổ dê kẹp ống PVC  21</v>
      </c>
      <c r="F123" s="338" t="str">
        <f>VLOOKUP($B123,DG!A:D,DG!$D$2,)</f>
        <v>bộ</v>
      </c>
      <c r="G123" s="359">
        <v>3</v>
      </c>
      <c r="H123" s="360">
        <f t="shared" si="8"/>
        <v>0</v>
      </c>
      <c r="I123" s="360"/>
      <c r="J123" s="360"/>
      <c r="K123" s="360"/>
      <c r="L123" s="360"/>
      <c r="M123" s="332"/>
      <c r="N123" s="340"/>
      <c r="O123" s="341"/>
    </row>
    <row r="124" spans="1:15" ht="16.2" outlineLevel="1">
      <c r="A124" s="288"/>
      <c r="B124" s="351" t="s">
        <v>609</v>
      </c>
      <c r="C124" s="352" t="str">
        <f>IF(OR(I124&lt;&gt;0,H124&lt;&gt;0),"x"," ")</f>
        <v xml:space="preserve"> </v>
      </c>
      <c r="D124" s="338"/>
      <c r="E124" s="358" t="str">
        <f>VLOOKUP($B124,DG!A:D,DG!C$2,)</f>
        <v>Đầu cosse ép Cu 25mm2</v>
      </c>
      <c r="F124" s="338" t="str">
        <f>VLOOKUP($B124,DG!A:D,DG!$D$2,)</f>
        <v>cái</v>
      </c>
      <c r="G124" s="359">
        <v>2</v>
      </c>
      <c r="H124" s="360">
        <f t="shared" si="8"/>
        <v>0</v>
      </c>
      <c r="I124" s="360"/>
      <c r="J124" s="360"/>
      <c r="K124" s="360"/>
      <c r="L124" s="360"/>
      <c r="M124" s="332"/>
      <c r="N124" s="340"/>
      <c r="O124" s="341"/>
    </row>
    <row r="125" spans="1:15" ht="16.2" outlineLevel="1">
      <c r="A125" s="288"/>
      <c r="B125" s="351" t="s">
        <v>610</v>
      </c>
      <c r="C125" s="352" t="str">
        <f>IF(OR(I125&lt;&gt;0,H125&lt;&gt;0),"x"," ")</f>
        <v xml:space="preserve"> </v>
      </c>
      <c r="D125" s="338"/>
      <c r="E125" s="358" t="str">
        <f>VLOOKUP($B125,DG!A:D,DG!C$2,)</f>
        <v>Boulon 12x40</v>
      </c>
      <c r="F125" s="338" t="str">
        <f>VLOOKUP($B125,DG!A:D,DG!$D$2,)</f>
        <v>bộ</v>
      </c>
      <c r="G125" s="359">
        <v>1</v>
      </c>
      <c r="H125" s="360">
        <f t="shared" si="8"/>
        <v>0</v>
      </c>
      <c r="I125" s="360"/>
      <c r="J125" s="360"/>
      <c r="K125" s="360"/>
      <c r="L125" s="360"/>
      <c r="M125" s="332"/>
      <c r="N125" s="340"/>
      <c r="O125" s="341"/>
    </row>
    <row r="126" spans="1:15" ht="16.2" outlineLevel="1">
      <c r="A126" s="288"/>
      <c r="B126" s="351" t="s">
        <v>602</v>
      </c>
      <c r="C126" s="352" t="str">
        <f>IF(OR(I126&lt;&gt;0,H126&lt;&gt;0),"x"," ")</f>
        <v xml:space="preserve"> </v>
      </c>
      <c r="D126" s="338" t="str">
        <f>VLOOKUP($B126,DG!A:D,DG!$B$2,)</f>
        <v>05.7001</v>
      </c>
      <c r="E126" s="366" t="str">
        <f>VLOOKUP($B126,DG!A:D,DG!C$2,)</f>
        <v xml:space="preserve">Kéo dây tiếp địa </v>
      </c>
      <c r="F126" s="338" t="str">
        <f>VLOOKUP($B126,DG!A:D,DG!$D$2,)</f>
        <v>mét</v>
      </c>
      <c r="G126" s="385">
        <f>G118</f>
        <v>11.872</v>
      </c>
      <c r="H126" s="354"/>
      <c r="I126" s="354"/>
      <c r="J126" s="354"/>
      <c r="K126" s="354"/>
      <c r="L126" s="354"/>
      <c r="M126" s="332"/>
      <c r="N126" s="340"/>
      <c r="O126" s="341"/>
    </row>
    <row r="127" spans="1:15" ht="16.2" outlineLevel="1">
      <c r="A127" s="288"/>
      <c r="B127" s="351" t="s">
        <v>603</v>
      </c>
      <c r="C127" s="352" t="str">
        <f>IF(OR(I127&lt;&gt;0,H127&lt;&gt;0),"x"," ")</f>
        <v xml:space="preserve"> </v>
      </c>
      <c r="D127" s="338" t="str">
        <f>VLOOKUP($B127,DG!A:D,DG!$B$2,)</f>
        <v>05.8103</v>
      </c>
      <c r="E127" s="366" t="str">
        <f>VLOOKUP($B127,DG!A:D,DG!C$2,)</f>
        <v>Đóng cọc tiếp địa đất cấp 3</v>
      </c>
      <c r="F127" s="338" t="str">
        <f>VLOOKUP($B127,DG!A:D,DG!$D$2,)</f>
        <v>cọc</v>
      </c>
      <c r="G127" s="359">
        <f>G119</f>
        <v>9</v>
      </c>
      <c r="H127" s="360"/>
      <c r="I127" s="360"/>
      <c r="J127" s="360"/>
      <c r="K127" s="360"/>
      <c r="L127" s="360"/>
      <c r="M127" s="332"/>
      <c r="N127" s="340"/>
      <c r="O127" s="341"/>
    </row>
    <row r="128" spans="1:15" ht="16.2" outlineLevel="1">
      <c r="A128" s="288"/>
      <c r="B128" s="351" t="s">
        <v>648</v>
      </c>
      <c r="C128" s="352" t="str">
        <f>IF(OR(I128&lt;&gt;0,H128&lt;&gt;0),"x"," ")</f>
        <v xml:space="preserve"> </v>
      </c>
      <c r="D128" s="338" t="str">
        <f>VLOOKUP($B128,DG!A:D,DG!$B$2,)</f>
        <v>03.3123</v>
      </c>
      <c r="E128" s="366" t="str">
        <f>VLOOKUP($B128,DG!A:D,DG!C$2,)</f>
        <v>Đào rãnh tiếp địa đất cấp 3</v>
      </c>
      <c r="F128" s="338" t="str">
        <f>VLOOKUP($B128,DG!A:D,DG!$D$2,)</f>
        <v>m3</v>
      </c>
      <c r="G128" s="385">
        <v>13.2</v>
      </c>
      <c r="H128" s="354"/>
      <c r="I128" s="354"/>
      <c r="J128" s="354"/>
      <c r="K128" s="354"/>
      <c r="L128" s="354"/>
      <c r="M128" s="332"/>
      <c r="N128" s="340"/>
      <c r="O128" s="341"/>
    </row>
    <row r="129" spans="1:15" ht="16.2" outlineLevel="1">
      <c r="A129" s="288"/>
      <c r="B129" s="351" t="s">
        <v>649</v>
      </c>
      <c r="C129" s="352" t="str">
        <f>IF(OR(I129&lt;&gt;0,H129&lt;&gt;0),"x"," ")</f>
        <v xml:space="preserve"> </v>
      </c>
      <c r="D129" s="338" t="str">
        <f>VLOOKUP($B129,DG!A:D,DG!$B$2,)</f>
        <v>03.4123</v>
      </c>
      <c r="E129" s="366" t="str">
        <f>VLOOKUP($B129,DG!A:D,DG!C$2,)</f>
        <v>Đắp đất rãnh tiếp độ chặt k=0,95</v>
      </c>
      <c r="F129" s="338" t="str">
        <f>VLOOKUP($B129,DG!A:D,DG!$D$2,)</f>
        <v>m3</v>
      </c>
      <c r="G129" s="385">
        <f>G128</f>
        <v>13.2</v>
      </c>
      <c r="H129" s="360"/>
      <c r="I129" s="360"/>
      <c r="J129" s="360"/>
      <c r="K129" s="360"/>
      <c r="L129" s="360"/>
      <c r="M129" s="332"/>
      <c r="N129" s="340"/>
      <c r="O129" s="341"/>
    </row>
    <row r="130" spans="1:15" ht="16.2" outlineLevel="1">
      <c r="A130" s="288"/>
      <c r="B130" s="351" t="s">
        <v>604</v>
      </c>
      <c r="C130" s="352" t="str">
        <f>IF(OR(I130&lt;&gt;0,H130&lt;&gt;0),"x"," ")</f>
        <v xml:space="preserve"> </v>
      </c>
      <c r="D130" s="338" t="str">
        <f>VLOOKUP($B130,DG!A:D,DG!$B$2,)</f>
        <v>02.1120</v>
      </c>
      <c r="E130" s="366" t="str">
        <f>VLOOKUP($B130,DG!A:D,DG!C$2,)</f>
        <v>Bốc dỡ phụ kiện</v>
      </c>
      <c r="F130" s="338" t="str">
        <f>VLOOKUP($B130,DG!A:D,DG!$D$2,)</f>
        <v>tấn</v>
      </c>
      <c r="G130" s="353"/>
      <c r="H130" s="360"/>
      <c r="I130" s="360"/>
      <c r="J130" s="360"/>
      <c r="K130" s="360"/>
      <c r="L130" s="360"/>
      <c r="M130" s="332"/>
      <c r="N130" s="340"/>
      <c r="O130" s="341"/>
    </row>
    <row r="131" spans="1:15" ht="16.2" outlineLevel="1">
      <c r="A131" s="288"/>
      <c r="B131" s="356" t="s">
        <v>605</v>
      </c>
      <c r="C131" s="352" t="str">
        <f>IF(OR(I131&lt;&gt;0,H131&lt;&gt;0),"x"," ")</f>
        <v xml:space="preserve"> </v>
      </c>
      <c r="D131" s="338" t="str">
        <f>VLOOKUP($B131,DG!A:C,2,)</f>
        <v>02.1351</v>
      </c>
      <c r="E131" s="366" t="str">
        <f>VLOOKUP($B131,DG!A:C,3,)</f>
        <v>V/c tiếp địa vào vị trí ( cự ly &lt;=100m)</v>
      </c>
      <c r="F131" s="338" t="str">
        <f>VLOOKUP($B131,DG!A:D,4,0)</f>
        <v>tấn</v>
      </c>
      <c r="G131" s="353"/>
      <c r="H131" s="354"/>
      <c r="I131" s="354"/>
      <c r="J131" s="354"/>
      <c r="K131" s="354"/>
      <c r="L131" s="354"/>
      <c r="M131" s="332"/>
      <c r="N131" s="340"/>
      <c r="O131" s="341"/>
    </row>
    <row r="132" spans="1:15" ht="15.6">
      <c r="A132" s="375"/>
      <c r="B132" s="343">
        <v>0</v>
      </c>
      <c r="C132" s="388" t="str">
        <f>IF(OR(H132&lt;&gt;0,I132&lt;&gt;0),"x"," ")</f>
        <v>x</v>
      </c>
      <c r="D132" s="347" t="s">
        <v>650</v>
      </c>
      <c r="E132" s="337" t="s">
        <v>651</v>
      </c>
      <c r="F132" s="345"/>
      <c r="G132" s="389">
        <f>SUM(H132:H132)+L132</f>
        <v>0</v>
      </c>
      <c r="H132" s="349">
        <f>IFERROR(HLOOKUP(B132,'BKT-ThuHoi'!$5:$183,179,0),0)</f>
        <v>0</v>
      </c>
      <c r="I132" s="390" t="s">
        <v>467</v>
      </c>
      <c r="J132" s="345"/>
      <c r="K132" s="345"/>
      <c r="L132" s="345"/>
      <c r="M132" s="340"/>
      <c r="N132" s="340"/>
      <c r="O132" s="341"/>
    </row>
    <row r="133" spans="1:15" ht="16.2" outlineLevel="2">
      <c r="A133" s="393" t="s">
        <v>659</v>
      </c>
      <c r="B133" s="343" t="s">
        <v>659</v>
      </c>
      <c r="C133" s="388" t="str">
        <f>IF(OR(I133&lt;&gt;0,H133&lt;&gt;0),"x"," ")</f>
        <v>x</v>
      </c>
      <c r="D133" s="345"/>
      <c r="E133" s="346" t="s">
        <v>660</v>
      </c>
      <c r="F133" s="347" t="s">
        <v>654</v>
      </c>
      <c r="G133" s="348"/>
      <c r="H133" s="349">
        <f>IFERROR(HLOOKUP(B133,'BKT-ThuHoi'!$5:$183,179,0),0)</f>
        <v>1</v>
      </c>
      <c r="I133" s="350">
        <f>H133+J133-K133</f>
        <v>1</v>
      </c>
      <c r="J133" s="350"/>
      <c r="K133" s="350"/>
      <c r="L133" s="350"/>
      <c r="M133" s="332"/>
      <c r="N133" s="340"/>
      <c r="O133" s="341"/>
    </row>
    <row r="134" spans="1:15" ht="16.2" outlineLevel="2">
      <c r="A134" s="288"/>
      <c r="B134" s="351" t="s">
        <v>661</v>
      </c>
      <c r="C134" s="388" t="str">
        <f>IF(OR(I134&lt;&gt;0,H134&lt;&gt;0),"x"," ")</f>
        <v>x</v>
      </c>
      <c r="D134" s="338"/>
      <c r="E134" s="358" t="str">
        <f>VLOOKUP($B134,DG!A:D,DG!$C$2,)</f>
        <v>Trụ BTLT 7,5m F200 dự ứng lực</v>
      </c>
      <c r="F134" s="338" t="str">
        <f>VLOOKUP($B134,DG!A:D,DG!$D$2,)</f>
        <v>trụ</v>
      </c>
      <c r="G134" s="359">
        <v>1</v>
      </c>
      <c r="H134" s="360">
        <f>H$133*$G134</f>
        <v>1</v>
      </c>
      <c r="I134" s="355">
        <f>$I$133*G134</f>
        <v>1</v>
      </c>
      <c r="J134" s="360"/>
      <c r="K134" s="360"/>
      <c r="L134" s="360"/>
      <c r="M134" s="332"/>
      <c r="N134" s="340"/>
      <c r="O134" s="341"/>
    </row>
    <row r="135" spans="1:15" ht="16.2" outlineLevel="2">
      <c r="A135" s="288"/>
      <c r="B135" s="351" t="s">
        <v>656</v>
      </c>
      <c r="C135" s="388" t="str">
        <f>IF(OR(I135&lt;&gt;0,H135&lt;&gt;0),"x"," ")</f>
        <v xml:space="preserve"> </v>
      </c>
      <c r="D135" s="338"/>
      <c r="E135" s="358" t="str">
        <f>VLOOKUP($B135,DG!A:D,DG!$C$2,)</f>
        <v>Vật liệu dựng trụ</v>
      </c>
      <c r="F135" s="338" t="str">
        <f>VLOOKUP($B135,DG!A:D,DG!$D$2,)</f>
        <v>trụ</v>
      </c>
      <c r="G135" s="359"/>
      <c r="H135" s="360">
        <f>H$133*$G135</f>
        <v>0</v>
      </c>
      <c r="I135" s="355">
        <f>$I$133*G135</f>
        <v>0</v>
      </c>
      <c r="J135" s="360"/>
      <c r="K135" s="360"/>
      <c r="L135" s="360"/>
      <c r="M135" s="332"/>
      <c r="N135" s="340"/>
      <c r="O135" s="341"/>
    </row>
    <row r="136" spans="1:15" ht="16.2" outlineLevel="2">
      <c r="A136" s="288"/>
      <c r="B136" s="351" t="s">
        <v>662</v>
      </c>
      <c r="C136" s="388" t="str">
        <f>IF(OR(I136&lt;&gt;0,H136&lt;&gt;0),"x"," ")</f>
        <v xml:space="preserve"> </v>
      </c>
      <c r="D136" s="338" t="str">
        <f>VLOOKUP($B136,DG!A:D,DG!$B$2,)</f>
        <v>05.5202</v>
      </c>
      <c r="E136" s="358" t="str">
        <f>VLOOKUP($B136,DG!A:D,DG!$C$2,)</f>
        <v>Dựng trụ BTLT &lt;8m thủ công +cơ giới</v>
      </c>
      <c r="F136" s="338" t="str">
        <f>VLOOKUP($B136,DG!A:D,DG!$D$2,)</f>
        <v>trụ</v>
      </c>
      <c r="G136" s="359"/>
      <c r="H136" s="360">
        <f>H$133*$G136</f>
        <v>0</v>
      </c>
      <c r="I136" s="355">
        <f>$I$133*G136</f>
        <v>0</v>
      </c>
      <c r="J136" s="360"/>
      <c r="K136" s="360"/>
      <c r="L136" s="360"/>
      <c r="M136" s="332"/>
      <c r="N136" s="340"/>
      <c r="O136" s="341"/>
    </row>
    <row r="137" spans="1:15" ht="16.2" outlineLevel="2">
      <c r="A137" s="288"/>
      <c r="B137" s="351" t="s">
        <v>657</v>
      </c>
      <c r="C137" s="388" t="str">
        <f>IF(OR(I137&lt;&gt;0,H137&lt;&gt;0),"x"," ")</f>
        <v xml:space="preserve"> </v>
      </c>
      <c r="D137" s="338" t="str">
        <f>VLOOKUP($B137,DG!A:D,DG!$B$2,)</f>
        <v>02.1124</v>
      </c>
      <c r="E137" s="366" t="str">
        <f>VLOOKUP($B137,DG!A:D,DG!$C$2,)</f>
        <v xml:space="preserve">Bốc dỡ trụ </v>
      </c>
      <c r="F137" s="338" t="str">
        <f>VLOOKUP($B137,DG!A:D,DG!$D$2,)</f>
        <v>tấn</v>
      </c>
      <c r="G137" s="357"/>
      <c r="H137" s="354"/>
      <c r="I137" s="354"/>
      <c r="J137" s="354"/>
      <c r="K137" s="354"/>
      <c r="L137" s="354"/>
      <c r="M137" s="332"/>
      <c r="N137" s="340"/>
      <c r="O137" s="341"/>
    </row>
    <row r="138" spans="1:15" ht="16.2" outlineLevel="2">
      <c r="A138" s="288"/>
      <c r="B138" s="356" t="s">
        <v>658</v>
      </c>
      <c r="C138" s="388" t="str">
        <f>IF(OR(I138&lt;&gt;0,H138&lt;&gt;0),"x"," ")</f>
        <v xml:space="preserve"> </v>
      </c>
      <c r="D138" s="338" t="str">
        <f>VLOOKUP($B138,DG!A:C,2,)</f>
        <v>02.1461</v>
      </c>
      <c r="E138" s="366" t="str">
        <f>VLOOKUP($B138,DG!A:C,3,)</f>
        <v>V/c cột vào vị trí (cự ly &lt;=100m)</v>
      </c>
      <c r="F138" s="338" t="str">
        <f>VLOOKUP($B138,DG!A:D,4,0)</f>
        <v>tấn</v>
      </c>
      <c r="G138" s="357"/>
      <c r="H138" s="354"/>
      <c r="I138" s="354"/>
      <c r="J138" s="354"/>
      <c r="K138" s="354"/>
      <c r="L138" s="354"/>
      <c r="M138" s="332"/>
      <c r="N138" s="340"/>
      <c r="O138" s="341"/>
    </row>
    <row r="139" spans="1:15" ht="16.2" outlineLevel="2">
      <c r="A139" s="288"/>
      <c r="B139" s="356" t="s">
        <v>447</v>
      </c>
      <c r="C139" s="388" t="str">
        <f>IF(OR(I139&lt;&gt;0,H139&lt;&gt;0),"x"," ")</f>
        <v xml:space="preserve"> </v>
      </c>
      <c r="D139" s="338" t="str">
        <f>VLOOKUP($B139,DG!A:C,2,)</f>
        <v>02.1482</v>
      </c>
      <c r="E139" s="366" t="str">
        <f>VLOOKUP($B139,DG!A:C,3,)</f>
        <v>V/c dụng cụ thi công vào vị trí (cự ly &lt;=100m)</v>
      </c>
      <c r="F139" s="338" t="str">
        <f>VLOOKUP($B139,DG!A:D,4,0)</f>
        <v>tấn</v>
      </c>
      <c r="G139" s="357"/>
      <c r="H139" s="354"/>
      <c r="I139" s="354"/>
      <c r="J139" s="354"/>
      <c r="K139" s="354"/>
      <c r="L139" s="354"/>
      <c r="M139" s="332"/>
      <c r="N139" s="340"/>
      <c r="O139" s="341"/>
    </row>
    <row r="140" spans="1:15" ht="16.2" outlineLevel="2">
      <c r="A140" s="393" t="s">
        <v>663</v>
      </c>
      <c r="B140" s="343" t="s">
        <v>3820</v>
      </c>
      <c r="C140" s="388" t="str">
        <f>IF(OR(I140&lt;&gt;0,H140&lt;&gt;0),"x"," ")</f>
        <v>x</v>
      </c>
      <c r="D140" s="345"/>
      <c r="E140" s="346" t="s">
        <v>664</v>
      </c>
      <c r="F140" s="347" t="s">
        <v>654</v>
      </c>
      <c r="G140" s="348"/>
      <c r="H140" s="349">
        <f>IFERROR(HLOOKUP(B140,'BKT-ThuHoi'!$5:$183,179,0),0)</f>
        <v>77</v>
      </c>
      <c r="I140" s="350">
        <f>H140+J140-K140</f>
        <v>77</v>
      </c>
      <c r="J140" s="350"/>
      <c r="K140" s="350"/>
      <c r="L140" s="350"/>
      <c r="M140" s="332"/>
      <c r="N140" s="340"/>
      <c r="O140" s="341"/>
    </row>
    <row r="141" spans="1:15" ht="16.2" outlineLevel="2">
      <c r="A141" s="288"/>
      <c r="B141" s="351" t="s">
        <v>665</v>
      </c>
      <c r="C141" s="388" t="str">
        <f>IF(OR(I141&lt;&gt;0,H141&lt;&gt;0),"x"," ")</f>
        <v>x</v>
      </c>
      <c r="D141" s="338"/>
      <c r="E141" s="358" t="str">
        <f>VLOOKUP($B141,DG!A:D,DG!$C$2,)</f>
        <v>Trụ BTLT 8,4m F200 dự ứng lực</v>
      </c>
      <c r="F141" s="338" t="str">
        <f>VLOOKUP($B141,DG!A:D,DG!$D$2,)</f>
        <v>trụ</v>
      </c>
      <c r="G141" s="359">
        <v>1</v>
      </c>
      <c r="H141" s="360">
        <f>H$140*$G141</f>
        <v>77</v>
      </c>
      <c r="I141" s="360">
        <f>$I$140*G141</f>
        <v>77</v>
      </c>
      <c r="J141" s="360"/>
      <c r="K141" s="360"/>
      <c r="L141" s="360"/>
      <c r="M141" s="332"/>
      <c r="N141" s="340"/>
      <c r="O141" s="341"/>
    </row>
    <row r="142" spans="1:15" ht="16.2" outlineLevel="2">
      <c r="A142" s="288"/>
      <c r="B142" s="351" t="s">
        <v>656</v>
      </c>
      <c r="C142" s="388" t="str">
        <f>IF(OR(I142&lt;&gt;0,H142&lt;&gt;0),"x"," ")</f>
        <v xml:space="preserve"> </v>
      </c>
      <c r="D142" s="338"/>
      <c r="E142" s="358" t="str">
        <f>VLOOKUP($B142,DG!A:D,DG!$C$2,)</f>
        <v>Vật liệu dựng trụ</v>
      </c>
      <c r="F142" s="338" t="str">
        <f>VLOOKUP($B142,DG!A:D,DG!$D$2,)</f>
        <v>trụ</v>
      </c>
      <c r="G142" s="359"/>
      <c r="H142" s="360">
        <f>H$140*$G142</f>
        <v>0</v>
      </c>
      <c r="I142" s="360">
        <f>$I$140*G142</f>
        <v>0</v>
      </c>
      <c r="J142" s="360"/>
      <c r="K142" s="360"/>
      <c r="L142" s="360"/>
      <c r="M142" s="332"/>
      <c r="N142" s="340"/>
      <c r="O142" s="341"/>
    </row>
    <row r="143" spans="1:15" ht="16.2" outlineLevel="2">
      <c r="A143" s="288"/>
      <c r="B143" s="351" t="s">
        <v>666</v>
      </c>
      <c r="C143" s="388" t="str">
        <f>IF(OR(I143&lt;&gt;0,H143&lt;&gt;0),"x"," ")</f>
        <v xml:space="preserve"> </v>
      </c>
      <c r="D143" s="338" t="str">
        <f>VLOOKUP($B143,DG!A:D,DG!$B$2,)</f>
        <v>05.5302</v>
      </c>
      <c r="E143" s="358" t="str">
        <f>VLOOKUP($B143,DG!A:D,DG!$C$2,)</f>
        <v>Dựng trụ BTLT &lt;10m thủ công +cơ giới</v>
      </c>
      <c r="F143" s="338" t="str">
        <f>VLOOKUP($B143,DG!A:D,DG!$D$2,)</f>
        <v>trụ</v>
      </c>
      <c r="G143" s="359"/>
      <c r="H143" s="360">
        <f>H$140*$G143</f>
        <v>0</v>
      </c>
      <c r="I143" s="360">
        <f>$I$140*G143</f>
        <v>0</v>
      </c>
      <c r="J143" s="354"/>
      <c r="K143" s="354"/>
      <c r="L143" s="354"/>
      <c r="M143" s="332"/>
      <c r="N143" s="340"/>
      <c r="O143" s="341"/>
    </row>
    <row r="144" spans="1:15" ht="16.2" outlineLevel="2">
      <c r="A144" s="288"/>
      <c r="B144" s="351" t="s">
        <v>657</v>
      </c>
      <c r="C144" s="388" t="str">
        <f>IF(OR(I144&lt;&gt;0,H144&lt;&gt;0),"x"," ")</f>
        <v xml:space="preserve"> </v>
      </c>
      <c r="D144" s="338" t="str">
        <f>VLOOKUP($B144,DG!A:D,DG!$B$2,)</f>
        <v>02.1124</v>
      </c>
      <c r="E144" s="366" t="str">
        <f>VLOOKUP($B144,DG!A:D,DG!$C$2,)</f>
        <v xml:space="preserve">Bốc dỡ trụ </v>
      </c>
      <c r="F144" s="338" t="str">
        <f>VLOOKUP($B144,DG!A:D,DG!$D$2,)</f>
        <v>tấn</v>
      </c>
      <c r="G144" s="357"/>
      <c r="H144" s="354"/>
      <c r="I144" s="354"/>
      <c r="J144" s="354"/>
      <c r="K144" s="354"/>
      <c r="L144" s="354"/>
      <c r="M144" s="332"/>
      <c r="N144" s="340"/>
      <c r="O144" s="341"/>
    </row>
    <row r="145" spans="1:15" ht="16.2" outlineLevel="2">
      <c r="A145" s="288"/>
      <c r="B145" s="356" t="s">
        <v>658</v>
      </c>
      <c r="C145" s="388" t="str">
        <f>IF(OR(I145&lt;&gt;0,H145&lt;&gt;0),"x"," ")</f>
        <v xml:space="preserve"> </v>
      </c>
      <c r="D145" s="338" t="str">
        <f>VLOOKUP($B145,DG!A:C,2,)</f>
        <v>02.1461</v>
      </c>
      <c r="E145" s="366" t="str">
        <f>VLOOKUP($B145,DG!A:C,3,)</f>
        <v>V/c cột vào vị trí (cự ly &lt;=100m)</v>
      </c>
      <c r="F145" s="338" t="str">
        <f>VLOOKUP($B145,DG!A:D,4,0)</f>
        <v>tấn</v>
      </c>
      <c r="G145" s="357"/>
      <c r="H145" s="354"/>
      <c r="I145" s="354"/>
      <c r="J145" s="354"/>
      <c r="K145" s="354"/>
      <c r="L145" s="354"/>
      <c r="M145" s="332"/>
      <c r="N145" s="340"/>
      <c r="O145" s="341"/>
    </row>
    <row r="146" spans="1:15" ht="16.2" outlineLevel="2">
      <c r="A146" s="288"/>
      <c r="B146" s="356" t="s">
        <v>447</v>
      </c>
      <c r="C146" s="388" t="str">
        <f>IF(OR(I146&lt;&gt;0,H146&lt;&gt;0),"x"," ")</f>
        <v xml:space="preserve"> </v>
      </c>
      <c r="D146" s="338" t="str">
        <f>VLOOKUP($B146,DG!A:C,2,)</f>
        <v>02.1482</v>
      </c>
      <c r="E146" s="366" t="str">
        <f>VLOOKUP($B146,DG!A:C,3,)</f>
        <v>V/c dụng cụ thi công vào vị trí (cự ly &lt;=100m)</v>
      </c>
      <c r="F146" s="338" t="str">
        <f>VLOOKUP($B146,DG!A:D,4,0)</f>
        <v>tấn</v>
      </c>
      <c r="G146" s="357"/>
      <c r="H146" s="354"/>
      <c r="I146" s="354"/>
      <c r="J146" s="354"/>
      <c r="K146" s="354"/>
      <c r="L146" s="354"/>
      <c r="M146" s="332"/>
      <c r="N146" s="340"/>
      <c r="O146" s="341"/>
    </row>
    <row r="147" spans="1:15" ht="16.2" outlineLevel="2">
      <c r="A147" s="393" t="s">
        <v>667</v>
      </c>
      <c r="B147" s="343" t="s">
        <v>667</v>
      </c>
      <c r="C147" s="388" t="str">
        <f>IF(OR(I147&lt;&gt;0,H147&lt;&gt;0),"x"," ")</f>
        <v xml:space="preserve"> </v>
      </c>
      <c r="D147" s="345"/>
      <c r="E147" s="346" t="s">
        <v>668</v>
      </c>
      <c r="F147" s="347" t="s">
        <v>654</v>
      </c>
      <c r="G147" s="348"/>
      <c r="H147" s="349">
        <f>IFERROR(HLOOKUP(B147,'BKT-ThuHoi'!$5:$183,179,0),0)</f>
        <v>0</v>
      </c>
      <c r="I147" s="350"/>
      <c r="J147" s="350"/>
      <c r="K147" s="350"/>
      <c r="L147" s="350"/>
      <c r="M147" s="332"/>
      <c r="N147" s="340"/>
      <c r="O147" s="341"/>
    </row>
    <row r="148" spans="1:15" ht="16.2" outlineLevel="2">
      <c r="A148" s="288"/>
      <c r="B148" s="351" t="s">
        <v>669</v>
      </c>
      <c r="C148" s="388" t="str">
        <f>IF(OR(I148&lt;&gt;0,H148&lt;&gt;0),"x"," ")</f>
        <v xml:space="preserve"> </v>
      </c>
      <c r="D148" s="338"/>
      <c r="E148" s="358" t="str">
        <f>VLOOKUP($B148,DG!A:D,DG!$C$2,)</f>
        <v>Trụ BTLT 8,4m F200 dự ứng lực có dây tiếp địa</v>
      </c>
      <c r="F148" s="338" t="str">
        <f>VLOOKUP($B148,DG!A:D,DG!$D$2,)</f>
        <v>trụ</v>
      </c>
      <c r="G148" s="359">
        <v>1</v>
      </c>
      <c r="H148" s="360">
        <f>H147*$G148</f>
        <v>0</v>
      </c>
      <c r="I148" s="360"/>
      <c r="J148" s="360"/>
      <c r="K148" s="360"/>
      <c r="L148" s="360"/>
      <c r="M148" s="332"/>
      <c r="N148" s="340"/>
      <c r="O148" s="341"/>
    </row>
    <row r="149" spans="1:15" ht="16.2" outlineLevel="2">
      <c r="A149" s="288"/>
      <c r="B149" s="351" t="s">
        <v>656</v>
      </c>
      <c r="C149" s="388" t="str">
        <f>IF(OR(I149&lt;&gt;0,H149&lt;&gt;0),"x"," ")</f>
        <v xml:space="preserve"> </v>
      </c>
      <c r="D149" s="338"/>
      <c r="E149" s="358" t="str">
        <f>VLOOKUP($B149,DG!A:D,DG!$C$2,)</f>
        <v>Vật liệu dựng trụ</v>
      </c>
      <c r="F149" s="338" t="str">
        <f>VLOOKUP($B149,DG!A:D,DG!$D$2,)</f>
        <v>trụ</v>
      </c>
      <c r="G149" s="359">
        <v>1</v>
      </c>
      <c r="H149" s="360">
        <f>H148*$G149</f>
        <v>0</v>
      </c>
      <c r="I149" s="360"/>
      <c r="J149" s="360"/>
      <c r="K149" s="360"/>
      <c r="L149" s="360"/>
      <c r="M149" s="332"/>
      <c r="N149" s="340"/>
      <c r="O149" s="341"/>
    </row>
    <row r="150" spans="1:15" ht="16.2" outlineLevel="2">
      <c r="A150" s="288"/>
      <c r="B150" s="351" t="s">
        <v>666</v>
      </c>
      <c r="C150" s="388" t="str">
        <f>IF(OR(I150&lt;&gt;0,H150&lt;&gt;0),"x"," ")</f>
        <v xml:space="preserve"> </v>
      </c>
      <c r="D150" s="338" t="str">
        <f>VLOOKUP($B150,DG!A:D,DG!$B$2,)</f>
        <v>05.5302</v>
      </c>
      <c r="E150" s="358" t="str">
        <f>VLOOKUP($B150,DG!A:D,DG!$C$2,)</f>
        <v>Dựng trụ BTLT &lt;10m thủ công +cơ giới</v>
      </c>
      <c r="F150" s="338" t="str">
        <f>VLOOKUP($B150,DG!A:D,DG!$D$2,)</f>
        <v>trụ</v>
      </c>
      <c r="G150" s="359">
        <v>1</v>
      </c>
      <c r="H150" s="360">
        <f>H149*$G150</f>
        <v>0</v>
      </c>
      <c r="I150" s="354"/>
      <c r="J150" s="354"/>
      <c r="K150" s="354"/>
      <c r="L150" s="354"/>
      <c r="M150" s="332"/>
      <c r="N150" s="340"/>
      <c r="O150" s="341"/>
    </row>
    <row r="151" spans="1:15" ht="16.2" outlineLevel="2">
      <c r="A151" s="288"/>
      <c r="B151" s="351" t="s">
        <v>657</v>
      </c>
      <c r="C151" s="388" t="str">
        <f>IF(OR(I151&lt;&gt;0,H151&lt;&gt;0),"x"," ")</f>
        <v xml:space="preserve"> </v>
      </c>
      <c r="D151" s="338" t="str">
        <f>VLOOKUP($B151,DG!A:D,DG!$B$2,)</f>
        <v>02.1124</v>
      </c>
      <c r="E151" s="366" t="str">
        <f>VLOOKUP($B151,DG!A:D,DG!$C$2,)</f>
        <v xml:space="preserve">Bốc dỡ trụ </v>
      </c>
      <c r="F151" s="338" t="str">
        <f>VLOOKUP($B151,DG!A:D,DG!$D$2,)</f>
        <v>tấn</v>
      </c>
      <c r="G151" s="357"/>
      <c r="H151" s="354"/>
      <c r="I151" s="354"/>
      <c r="J151" s="354"/>
      <c r="K151" s="354"/>
      <c r="L151" s="354"/>
      <c r="M151" s="332"/>
      <c r="N151" s="340"/>
      <c r="O151" s="341"/>
    </row>
    <row r="152" spans="1:15" ht="16.2" outlineLevel="2">
      <c r="A152" s="288"/>
      <c r="B152" s="356" t="s">
        <v>658</v>
      </c>
      <c r="C152" s="388" t="str">
        <f>IF(OR(I152&lt;&gt;0,H152&lt;&gt;0),"x"," ")</f>
        <v xml:space="preserve"> </v>
      </c>
      <c r="D152" s="338" t="str">
        <f>VLOOKUP($B152,DG!A:C,2,)</f>
        <v>02.1461</v>
      </c>
      <c r="E152" s="366" t="str">
        <f>VLOOKUP($B152,DG!A:C,3,)</f>
        <v>V/c cột vào vị trí (cự ly &lt;=100m)</v>
      </c>
      <c r="F152" s="338" t="str">
        <f>VLOOKUP($B152,DG!A:D,4,0)</f>
        <v>tấn</v>
      </c>
      <c r="G152" s="357"/>
      <c r="H152" s="354"/>
      <c r="I152" s="354"/>
      <c r="J152" s="354"/>
      <c r="K152" s="354"/>
      <c r="L152" s="354"/>
      <c r="M152" s="332"/>
      <c r="N152" s="340"/>
      <c r="O152" s="341"/>
    </row>
    <row r="153" spans="1:15" ht="16.2" outlineLevel="2">
      <c r="A153" s="288"/>
      <c r="B153" s="356" t="s">
        <v>447</v>
      </c>
      <c r="C153" s="388" t="str">
        <f>IF(OR(I153&lt;&gt;0,H153&lt;&gt;0),"x"," ")</f>
        <v xml:space="preserve"> </v>
      </c>
      <c r="D153" s="338" t="str">
        <f>VLOOKUP($B153,DG!A:C,2,)</f>
        <v>02.1482</v>
      </c>
      <c r="E153" s="366" t="str">
        <f>VLOOKUP($B153,DG!A:C,3,)</f>
        <v>V/c dụng cụ thi công vào vị trí (cự ly &lt;=100m)</v>
      </c>
      <c r="F153" s="338" t="str">
        <f>VLOOKUP($B153,DG!A:D,4,0)</f>
        <v>tấn</v>
      </c>
      <c r="G153" s="357"/>
      <c r="H153" s="354"/>
      <c r="I153" s="354"/>
      <c r="J153" s="354"/>
      <c r="K153" s="354"/>
      <c r="L153" s="354"/>
      <c r="M153" s="332"/>
      <c r="N153" s="340"/>
      <c r="O153" s="341"/>
    </row>
    <row r="154" spans="1:15" ht="16.2" outlineLevel="2">
      <c r="A154" s="393" t="s">
        <v>670</v>
      </c>
      <c r="B154" s="392" t="s">
        <v>663</v>
      </c>
      <c r="C154" s="388" t="str">
        <f>IF(OR(I154&lt;&gt;0,H154&lt;&gt;0),"x"," ")</f>
        <v xml:space="preserve"> </v>
      </c>
      <c r="D154" s="345"/>
      <c r="E154" s="346" t="s">
        <v>235</v>
      </c>
      <c r="F154" s="347" t="s">
        <v>654</v>
      </c>
      <c r="G154" s="348"/>
      <c r="H154" s="349">
        <f>IFERROR(HLOOKUP(B154,'BKT-ThuHoi'!$5:$183,179,0),0)</f>
        <v>0</v>
      </c>
      <c r="I154" s="350"/>
      <c r="J154" s="350"/>
      <c r="K154" s="350"/>
      <c r="L154" s="350"/>
      <c r="M154" s="332"/>
      <c r="N154" s="340"/>
      <c r="O154" s="341"/>
    </row>
    <row r="155" spans="1:15" ht="16.2" outlineLevel="2">
      <c r="A155" s="288"/>
      <c r="B155" s="351" t="s">
        <v>656</v>
      </c>
      <c r="C155" s="388" t="str">
        <f>IF(OR(I155&lt;&gt;0,H155&lt;&gt;0),"x"," ")</f>
        <v xml:space="preserve"> </v>
      </c>
      <c r="D155" s="338"/>
      <c r="E155" s="358" t="s">
        <v>671</v>
      </c>
      <c r="F155" s="338" t="str">
        <f>VLOOKUP($B155,DG!A:D,DG!$D$2,)</f>
        <v>trụ</v>
      </c>
      <c r="G155" s="359">
        <v>1</v>
      </c>
      <c r="H155" s="360">
        <f>H$154*$G155</f>
        <v>0</v>
      </c>
      <c r="I155" s="360"/>
      <c r="J155" s="360"/>
      <c r="K155" s="360"/>
      <c r="L155" s="360"/>
      <c r="M155" s="332"/>
      <c r="N155" s="340"/>
      <c r="O155" s="341"/>
    </row>
    <row r="156" spans="1:15" ht="16.2" outlineLevel="2">
      <c r="A156" s="288"/>
      <c r="B156" s="351" t="s">
        <v>666</v>
      </c>
      <c r="C156" s="388" t="str">
        <f>IF(OR(I156&lt;&gt;0,H156&lt;&gt;0),"x"," ")</f>
        <v xml:space="preserve"> </v>
      </c>
      <c r="D156" s="338" t="str">
        <f>VLOOKUP($B156,DG!A:D,DG!$B$2,)</f>
        <v>05.5302</v>
      </c>
      <c r="E156" s="358" t="s">
        <v>672</v>
      </c>
      <c r="F156" s="338" t="str">
        <f>VLOOKUP($B156,DG!A:D,DG!$D$2,)</f>
        <v>trụ</v>
      </c>
      <c r="G156" s="359">
        <v>1</v>
      </c>
      <c r="H156" s="354"/>
      <c r="I156" s="354"/>
      <c r="J156" s="354"/>
      <c r="K156" s="354"/>
      <c r="L156" s="354"/>
      <c r="M156" s="332"/>
      <c r="N156" s="340"/>
      <c r="O156" s="341"/>
    </row>
    <row r="157" spans="1:15" ht="16.2" outlineLevel="2">
      <c r="A157" s="288"/>
      <c r="B157" s="356" t="s">
        <v>447</v>
      </c>
      <c r="C157" s="388" t="str">
        <f>IF(OR(I157&lt;&gt;0,H157&lt;&gt;0),"x"," ")</f>
        <v xml:space="preserve"> </v>
      </c>
      <c r="D157" s="338" t="str">
        <f>VLOOKUP($B157,DG!A:C,2,)</f>
        <v>02.1482</v>
      </c>
      <c r="E157" s="366" t="str">
        <f>VLOOKUP($B157,DG!A:C,3,)</f>
        <v>V/c dụng cụ thi công vào vị trí (cự ly &lt;=100m)</v>
      </c>
      <c r="F157" s="338" t="str">
        <f>VLOOKUP($B157,DG!A:D,4,0)</f>
        <v>tấn</v>
      </c>
      <c r="G157" s="357">
        <v>0.25</v>
      </c>
      <c r="H157" s="354"/>
      <c r="I157" s="354"/>
      <c r="J157" s="354"/>
      <c r="K157" s="354"/>
      <c r="L157" s="354"/>
      <c r="M157" s="332"/>
      <c r="N157" s="340"/>
      <c r="O157" s="341"/>
    </row>
    <row r="158" spans="1:15" ht="16.2" outlineLevel="2">
      <c r="A158" s="391" t="s">
        <v>673</v>
      </c>
      <c r="B158" s="343" t="s">
        <v>673</v>
      </c>
      <c r="C158" s="388" t="str">
        <f>IF(OR(I158&lt;&gt;0,H158&lt;&gt;0),"x"," ")</f>
        <v xml:space="preserve"> </v>
      </c>
      <c r="D158" s="345"/>
      <c r="E158" s="346" t="s">
        <v>674</v>
      </c>
      <c r="F158" s="347" t="s">
        <v>654</v>
      </c>
      <c r="G158" s="348"/>
      <c r="H158" s="349">
        <f>IFERROR(HLOOKUP(B158,'BKT-ThuHoi'!$5:$183,179,0),0)</f>
        <v>0</v>
      </c>
      <c r="I158" s="350"/>
      <c r="J158" s="350"/>
      <c r="K158" s="350"/>
      <c r="L158" s="350"/>
      <c r="M158" s="332"/>
      <c r="N158" s="340"/>
      <c r="O158" s="341"/>
    </row>
    <row r="159" spans="1:15" ht="16.2" outlineLevel="2">
      <c r="A159" s="288"/>
      <c r="B159" s="351" t="s">
        <v>656</v>
      </c>
      <c r="C159" s="388" t="str">
        <f>IF(OR(I159&lt;&gt;0,H159&lt;&gt;0),"x"," ")</f>
        <v xml:space="preserve"> </v>
      </c>
      <c r="D159" s="338"/>
      <c r="E159" s="358" t="s">
        <v>671</v>
      </c>
      <c r="F159" s="338" t="str">
        <f>VLOOKUP($B159,DG!A:D,DG!$D$2,)</f>
        <v>trụ</v>
      </c>
      <c r="G159" s="359">
        <v>1</v>
      </c>
      <c r="H159" s="360">
        <f>H$158*$G159</f>
        <v>0</v>
      </c>
      <c r="I159" s="360"/>
      <c r="J159" s="360"/>
      <c r="K159" s="360"/>
      <c r="L159" s="360"/>
      <c r="M159" s="332"/>
      <c r="N159" s="340"/>
      <c r="O159" s="341"/>
    </row>
    <row r="160" spans="1:15" ht="16.2" outlineLevel="2">
      <c r="A160" s="288"/>
      <c r="B160" s="351" t="s">
        <v>666</v>
      </c>
      <c r="C160" s="388" t="str">
        <f>IF(OR(I160&lt;&gt;0,H160&lt;&gt;0),"x"," ")</f>
        <v xml:space="preserve"> </v>
      </c>
      <c r="D160" s="338" t="str">
        <f>VLOOKUP($B160,DG!A:D,DG!$B$2,)</f>
        <v>05.5302</v>
      </c>
      <c r="E160" s="358" t="s">
        <v>672</v>
      </c>
      <c r="F160" s="338" t="str">
        <f>VLOOKUP($B160,DG!A:D,DG!$D$2,)</f>
        <v>trụ</v>
      </c>
      <c r="G160" s="359">
        <v>1</v>
      </c>
      <c r="H160" s="360">
        <f t="shared" ref="H160:H162" si="9">H$158*$G160</f>
        <v>0</v>
      </c>
      <c r="I160" s="360"/>
      <c r="J160" s="360"/>
      <c r="K160" s="360"/>
      <c r="L160" s="360"/>
      <c r="M160" s="332"/>
      <c r="N160" s="340"/>
      <c r="O160" s="341"/>
    </row>
    <row r="161" spans="1:15" ht="16.2" outlineLevel="2">
      <c r="A161" s="288"/>
      <c r="B161" s="351" t="s">
        <v>656</v>
      </c>
      <c r="C161" s="388" t="str">
        <f>IF(OR(I161&lt;&gt;0,H161&lt;&gt;0),"x"," ")</f>
        <v xml:space="preserve"> </v>
      </c>
      <c r="D161" s="338">
        <f>VLOOKUP($B161,DG!A:D,DG!$B$2,)</f>
        <v>0</v>
      </c>
      <c r="E161" s="358" t="str">
        <f>VLOOKUP($B161,DG!A:D,DG!$C$2,)</f>
        <v>Vật liệu dựng trụ</v>
      </c>
      <c r="F161" s="338" t="str">
        <f>VLOOKUP($B161,DG!A:D,DG!$D$2,)</f>
        <v>trụ</v>
      </c>
      <c r="G161" s="359">
        <v>1</v>
      </c>
      <c r="H161" s="360">
        <f t="shared" si="9"/>
        <v>0</v>
      </c>
      <c r="I161" s="360"/>
      <c r="J161" s="360"/>
      <c r="K161" s="360"/>
      <c r="L161" s="360"/>
      <c r="M161" s="332"/>
      <c r="N161" s="340"/>
      <c r="O161" s="341"/>
    </row>
    <row r="162" spans="1:15" ht="16.2" outlineLevel="2">
      <c r="A162" s="288"/>
      <c r="B162" s="351" t="s">
        <v>666</v>
      </c>
      <c r="C162" s="388" t="str">
        <f>IF(OR(I162&lt;&gt;0,H162&lt;&gt;0),"x"," ")</f>
        <v xml:space="preserve"> </v>
      </c>
      <c r="D162" s="338" t="str">
        <f>VLOOKUP($B162,DG!A:D,DG!$B$2,)</f>
        <v>05.5302</v>
      </c>
      <c r="E162" s="358" t="str">
        <f>VLOOKUP($B162,DG!A:D,DG!$C$2,)</f>
        <v>Dựng trụ BTLT &lt;10m thủ công +cơ giới</v>
      </c>
      <c r="F162" s="338" t="str">
        <f>VLOOKUP($B162,DG!A:D,DG!$D$2,)</f>
        <v>trụ</v>
      </c>
      <c r="G162" s="359">
        <v>1</v>
      </c>
      <c r="H162" s="360">
        <f t="shared" si="9"/>
        <v>0</v>
      </c>
      <c r="I162" s="360"/>
      <c r="J162" s="360"/>
      <c r="K162" s="360"/>
      <c r="L162" s="360"/>
      <c r="M162" s="332"/>
      <c r="N162" s="340"/>
      <c r="O162" s="341"/>
    </row>
    <row r="163" spans="1:15" ht="16.2" outlineLevel="2">
      <c r="A163" s="288"/>
      <c r="B163" s="356" t="s">
        <v>447</v>
      </c>
      <c r="C163" s="388" t="str">
        <f>IF(OR(I163&lt;&gt;0,H163&lt;&gt;0),"x"," ")</f>
        <v xml:space="preserve"> </v>
      </c>
      <c r="D163" s="338" t="str">
        <f>VLOOKUP($B163,DG!A:C,2,)</f>
        <v>02.1482</v>
      </c>
      <c r="E163" s="366" t="str">
        <f>VLOOKUP($B163,DG!A:C,3,)</f>
        <v>V/c dụng cụ thi công vào vị trí (cự ly &lt;=100m)</v>
      </c>
      <c r="F163" s="338" t="str">
        <f>VLOOKUP($B163,DG!A:D,4,0)</f>
        <v>tấn</v>
      </c>
      <c r="G163" s="357"/>
      <c r="H163" s="354"/>
      <c r="I163" s="354"/>
      <c r="J163" s="354"/>
      <c r="K163" s="354"/>
      <c r="L163" s="354"/>
      <c r="M163" s="332"/>
      <c r="N163" s="340"/>
      <c r="O163" s="341"/>
    </row>
    <row r="164" spans="1:15" ht="16.2" outlineLevel="2">
      <c r="A164" s="391" t="s">
        <v>675</v>
      </c>
      <c r="B164" s="343" t="s">
        <v>675</v>
      </c>
      <c r="C164" s="388" t="str">
        <f>IF(OR(I164&lt;&gt;0,H164&lt;&gt;0),"x"," ")</f>
        <v xml:space="preserve"> </v>
      </c>
      <c r="D164" s="345"/>
      <c r="E164" s="346" t="s">
        <v>676</v>
      </c>
      <c r="F164" s="347" t="s">
        <v>654</v>
      </c>
      <c r="G164" s="348"/>
      <c r="H164" s="349">
        <f>IFERROR(HLOOKUP(B164,'BKT-ThuHoi'!$5:$183,179,0),0)</f>
        <v>0</v>
      </c>
      <c r="I164" s="350">
        <f>H164+J164-K164</f>
        <v>0</v>
      </c>
      <c r="J164" s="350"/>
      <c r="K164" s="350"/>
      <c r="L164" s="350"/>
      <c r="M164" s="332"/>
      <c r="N164" s="340"/>
      <c r="O164" s="341"/>
    </row>
    <row r="165" spans="1:15" ht="16.2" outlineLevel="2">
      <c r="A165" s="288"/>
      <c r="B165" s="351" t="s">
        <v>677</v>
      </c>
      <c r="C165" s="388" t="str">
        <f>IF(OR(I165&lt;&gt;0,H165&lt;&gt;0),"x"," ")</f>
        <v xml:space="preserve"> </v>
      </c>
      <c r="D165" s="338"/>
      <c r="E165" s="358" t="str">
        <f>VLOOKUP($B165,DG!A:D,DG!$C$2,)</f>
        <v>Trụ BTLT 10,5m F350 dự ứng lực</v>
      </c>
      <c r="F165" s="338" t="str">
        <f>VLOOKUP($B165,DG!A:D,DG!$D$2,)</f>
        <v>trụ</v>
      </c>
      <c r="G165" s="359">
        <v>1</v>
      </c>
      <c r="H165" s="360">
        <f>H$164*$G165</f>
        <v>0</v>
      </c>
      <c r="I165" s="360">
        <f>$I$164*G165</f>
        <v>0</v>
      </c>
      <c r="J165" s="360"/>
      <c r="K165" s="360"/>
      <c r="L165" s="360"/>
      <c r="M165" s="332"/>
      <c r="N165" s="340"/>
      <c r="O165" s="341"/>
    </row>
    <row r="166" spans="1:15" ht="16.2" outlineLevel="2">
      <c r="A166" s="288"/>
      <c r="B166" s="351" t="s">
        <v>656</v>
      </c>
      <c r="C166" s="388" t="str">
        <f>IF(OR(I166&lt;&gt;0,H166&lt;&gt;0),"x"," ")</f>
        <v xml:space="preserve"> </v>
      </c>
      <c r="D166" s="338"/>
      <c r="E166" s="358" t="str">
        <f>VLOOKUP($B166,DG!A:D,DG!$C$2,)</f>
        <v>Vật liệu dựng trụ</v>
      </c>
      <c r="F166" s="338" t="str">
        <f>VLOOKUP($B166,DG!A:D,DG!$D$2,)</f>
        <v>trụ</v>
      </c>
      <c r="G166" s="359">
        <v>1</v>
      </c>
      <c r="H166" s="360">
        <f>H$164*$G166</f>
        <v>0</v>
      </c>
      <c r="I166" s="360">
        <f>$I$164*G166</f>
        <v>0</v>
      </c>
      <c r="J166" s="360"/>
      <c r="K166" s="360"/>
      <c r="L166" s="360"/>
      <c r="M166" s="332"/>
      <c r="N166" s="340"/>
      <c r="O166" s="341"/>
    </row>
    <row r="167" spans="1:15" ht="16.2" outlineLevel="2">
      <c r="A167" s="288"/>
      <c r="B167" s="351" t="s">
        <v>678</v>
      </c>
      <c r="C167" s="388" t="str">
        <f>IF(OR(I167&lt;&gt;0,H167&lt;&gt;0),"x"," ")</f>
        <v xml:space="preserve"> </v>
      </c>
      <c r="D167" s="338" t="str">
        <f>VLOOKUP($B167,DG!A:D,DG!$B$2,)</f>
        <v>05.5402</v>
      </c>
      <c r="E167" s="358" t="str">
        <f>VLOOKUP($B167,DG!A:D,DG!$C$2,)</f>
        <v>Dựng trụ BTLT 10,5m thủ công + cơ giới</v>
      </c>
      <c r="F167" s="338" t="str">
        <f>VLOOKUP($B167,DG!A:D,DG!$D$2,)</f>
        <v>trụ</v>
      </c>
      <c r="G167" s="359">
        <v>1</v>
      </c>
      <c r="H167" s="360">
        <f>H$164*$G167</f>
        <v>0</v>
      </c>
      <c r="I167" s="360">
        <f>$I$164*G167</f>
        <v>0</v>
      </c>
      <c r="J167" s="354"/>
      <c r="K167" s="354"/>
      <c r="L167" s="354"/>
      <c r="M167" s="332"/>
      <c r="N167" s="340"/>
      <c r="O167" s="341"/>
    </row>
    <row r="168" spans="1:15" ht="16.2" outlineLevel="2">
      <c r="A168" s="288"/>
      <c r="B168" s="351" t="s">
        <v>657</v>
      </c>
      <c r="C168" s="388" t="str">
        <f>IF(OR(I168&lt;&gt;0,H168&lt;&gt;0),"x"," ")</f>
        <v xml:space="preserve"> </v>
      </c>
      <c r="D168" s="338" t="str">
        <f>VLOOKUP($B168,DG!A:D,DG!$B$2,)</f>
        <v>02.1124</v>
      </c>
      <c r="E168" s="366" t="str">
        <f>VLOOKUP($B168,DG!A:D,DG!$C$2,)</f>
        <v xml:space="preserve">Bốc dỡ trụ </v>
      </c>
      <c r="F168" s="338" t="str">
        <f>VLOOKUP($B168,DG!A:D,DG!$D$2,)</f>
        <v>tấn</v>
      </c>
      <c r="G168" s="357"/>
      <c r="H168" s="354"/>
      <c r="I168" s="354"/>
      <c r="J168" s="354"/>
      <c r="K168" s="354"/>
      <c r="L168" s="354"/>
      <c r="M168" s="332"/>
      <c r="N168" s="340"/>
      <c r="O168" s="341"/>
    </row>
    <row r="169" spans="1:15" ht="16.2" outlineLevel="2">
      <c r="A169" s="288"/>
      <c r="B169" s="356" t="s">
        <v>658</v>
      </c>
      <c r="C169" s="388" t="str">
        <f>IF(OR(I169&lt;&gt;0,H169&lt;&gt;0),"x"," ")</f>
        <v xml:space="preserve"> </v>
      </c>
      <c r="D169" s="338" t="str">
        <f>VLOOKUP($B169,DG!A:C,2,)</f>
        <v>02.1461</v>
      </c>
      <c r="E169" s="366" t="str">
        <f>VLOOKUP($B169,DG!A:C,3,)</f>
        <v>V/c cột vào vị trí (cự ly &lt;=100m)</v>
      </c>
      <c r="F169" s="338" t="str">
        <f>VLOOKUP($B169,DG!A:D,4,0)</f>
        <v>tấn</v>
      </c>
      <c r="G169" s="357"/>
      <c r="H169" s="354"/>
      <c r="I169" s="354"/>
      <c r="J169" s="354"/>
      <c r="K169" s="354"/>
      <c r="L169" s="354"/>
      <c r="M169" s="332"/>
      <c r="N169" s="340"/>
      <c r="O169" s="341"/>
    </row>
    <row r="170" spans="1:15" ht="16.2" outlineLevel="2">
      <c r="A170" s="288"/>
      <c r="B170" s="356" t="s">
        <v>447</v>
      </c>
      <c r="C170" s="388" t="str">
        <f>IF(OR(I170&lt;&gt;0,H170&lt;&gt;0),"x"," ")</f>
        <v xml:space="preserve"> </v>
      </c>
      <c r="D170" s="338" t="str">
        <f>VLOOKUP($B170,DG!A:C,2,)</f>
        <v>02.1482</v>
      </c>
      <c r="E170" s="366" t="str">
        <f>VLOOKUP($B170,DG!A:C,3,)</f>
        <v>V/c dụng cụ thi công vào vị trí (cự ly &lt;=100m)</v>
      </c>
      <c r="F170" s="338" t="str">
        <f>VLOOKUP($B170,DG!A:D,4,0)</f>
        <v>tấn</v>
      </c>
      <c r="G170" s="357"/>
      <c r="H170" s="354"/>
      <c r="I170" s="354"/>
      <c r="J170" s="354"/>
      <c r="K170" s="354"/>
      <c r="L170" s="354"/>
      <c r="M170" s="332"/>
      <c r="N170" s="340"/>
      <c r="O170" s="341"/>
    </row>
    <row r="171" spans="1:15" ht="16.2" outlineLevel="2">
      <c r="A171" s="391" t="s">
        <v>679</v>
      </c>
      <c r="B171" s="343" t="s">
        <v>679</v>
      </c>
      <c r="C171" s="388" t="str">
        <f>IF(OR(I171&lt;&gt;0,H171&lt;&gt;0),"x"," ")</f>
        <v xml:space="preserve"> </v>
      </c>
      <c r="D171" s="345"/>
      <c r="E171" s="346" t="s">
        <v>680</v>
      </c>
      <c r="F171" s="347" t="s">
        <v>654</v>
      </c>
      <c r="G171" s="348"/>
      <c r="H171" s="349">
        <f>IFERROR(HLOOKUP(B171,'BKT-ThuHoi'!$5:$183,179,0),0)</f>
        <v>0</v>
      </c>
      <c r="I171" s="350"/>
      <c r="J171" s="350"/>
      <c r="K171" s="350"/>
      <c r="L171" s="350"/>
      <c r="M171" s="332"/>
      <c r="N171" s="340"/>
      <c r="O171" s="341"/>
    </row>
    <row r="172" spans="1:15" ht="16.2" outlineLevel="2">
      <c r="A172" s="288"/>
      <c r="B172" s="351" t="s">
        <v>678</v>
      </c>
      <c r="C172" s="388" t="str">
        <f>IF(OR(I172&lt;&gt;0,H172&lt;&gt;0),"x"," ")</f>
        <v xml:space="preserve"> </v>
      </c>
      <c r="D172" s="338" t="str">
        <f>VLOOKUP($B172,DG!A:D,DG!$B$2,)</f>
        <v>05.5402</v>
      </c>
      <c r="E172" s="358" t="s">
        <v>681</v>
      </c>
      <c r="F172" s="338" t="str">
        <f>VLOOKUP($B172,DG!A:D,DG!$D$2,)</f>
        <v>trụ</v>
      </c>
      <c r="G172" s="359">
        <v>1</v>
      </c>
      <c r="H172" s="354"/>
      <c r="I172" s="354"/>
      <c r="J172" s="354"/>
      <c r="K172" s="354"/>
      <c r="L172" s="354"/>
      <c r="M172" s="332"/>
      <c r="N172" s="340"/>
      <c r="O172" s="341"/>
    </row>
    <row r="173" spans="1:15" ht="16.2" outlineLevel="2">
      <c r="A173" s="394" t="s">
        <v>682</v>
      </c>
      <c r="B173" s="343" t="s">
        <v>682</v>
      </c>
      <c r="C173" s="388" t="str">
        <f>IF(OR(I173&lt;&gt;0,H173&lt;&gt;0),"x"," ")</f>
        <v xml:space="preserve"> </v>
      </c>
      <c r="D173" s="345"/>
      <c r="E173" s="346" t="s">
        <v>683</v>
      </c>
      <c r="F173" s="347" t="s">
        <v>654</v>
      </c>
      <c r="G173" s="348"/>
      <c r="H173" s="349">
        <f>IFERROR(HLOOKUP(B173,'BKT-ThuHoi'!$5:$183,179,0),0)</f>
        <v>0</v>
      </c>
      <c r="I173" s="350"/>
      <c r="J173" s="350"/>
      <c r="K173" s="350"/>
      <c r="L173" s="350"/>
      <c r="M173" s="332"/>
      <c r="N173" s="340"/>
      <c r="O173" s="341"/>
    </row>
    <row r="174" spans="1:15" ht="16.2" outlineLevel="2">
      <c r="A174" s="288"/>
      <c r="B174" s="351" t="s">
        <v>684</v>
      </c>
      <c r="C174" s="388" t="str">
        <f>IF(OR(I174&lt;&gt;0,H174&lt;&gt;0),"x"," ")</f>
        <v xml:space="preserve"> </v>
      </c>
      <c r="D174" s="338"/>
      <c r="E174" s="358" t="str">
        <f>VLOOKUP($B174,DG!A:D,DG!$C$2,)</f>
        <v>Trụ BTLT 12m F350 dự ứng lực</v>
      </c>
      <c r="F174" s="338" t="str">
        <f>VLOOKUP($B174,DG!A:D,DG!$D$2,)</f>
        <v>trụ</v>
      </c>
      <c r="G174" s="359">
        <v>1</v>
      </c>
      <c r="H174" s="360">
        <f>H$173*$G174</f>
        <v>0</v>
      </c>
      <c r="I174" s="360"/>
      <c r="J174" s="360"/>
      <c r="K174" s="360"/>
      <c r="L174" s="360"/>
      <c r="M174" s="332"/>
      <c r="N174" s="340"/>
      <c r="O174" s="341"/>
    </row>
    <row r="175" spans="1:15" ht="16.2" outlineLevel="2">
      <c r="A175" s="288"/>
      <c r="B175" s="351" t="s">
        <v>656</v>
      </c>
      <c r="C175" s="388" t="str">
        <f>IF(OR(I175&lt;&gt;0,H175&lt;&gt;0),"x"," ")</f>
        <v xml:space="preserve"> </v>
      </c>
      <c r="D175" s="338"/>
      <c r="E175" s="358" t="str">
        <f>VLOOKUP($B175,DG!A:D,DG!$C$2,)</f>
        <v>Vật liệu dựng trụ</v>
      </c>
      <c r="F175" s="338" t="str">
        <f>VLOOKUP($B175,DG!A:D,DG!$D$2,)</f>
        <v>trụ</v>
      </c>
      <c r="G175" s="359">
        <v>1</v>
      </c>
      <c r="H175" s="360">
        <f>H$173*$G175</f>
        <v>0</v>
      </c>
      <c r="I175" s="360"/>
      <c r="J175" s="360"/>
      <c r="K175" s="360"/>
      <c r="L175" s="360"/>
      <c r="M175" s="332"/>
      <c r="N175" s="340"/>
      <c r="O175" s="341"/>
    </row>
    <row r="176" spans="1:15" ht="16.2" outlineLevel="2">
      <c r="A176" s="288"/>
      <c r="B176" s="351" t="s">
        <v>685</v>
      </c>
      <c r="C176" s="388" t="str">
        <f>IF(OR(I176&lt;&gt;0,H176&lt;&gt;0),"x"," ")</f>
        <v xml:space="preserve"> </v>
      </c>
      <c r="D176" s="338" t="str">
        <f>VLOOKUP($B176,DG!A:D,DG!$B$2,)</f>
        <v>05.5213</v>
      </c>
      <c r="E176" s="358" t="str">
        <f>VLOOKUP($B176,DG!A:D,DG!$C$2,)</f>
        <v>Dựng trụ BTLT 12m bằng thủ công</v>
      </c>
      <c r="F176" s="338" t="str">
        <f>VLOOKUP($B176,DG!A:D,DG!$D$2,)</f>
        <v>trụ</v>
      </c>
      <c r="G176" s="359">
        <v>1</v>
      </c>
      <c r="H176" s="354"/>
      <c r="I176" s="354"/>
      <c r="J176" s="354"/>
      <c r="K176" s="354"/>
      <c r="L176" s="354"/>
      <c r="M176" s="332"/>
      <c r="N176" s="340"/>
      <c r="O176" s="341"/>
    </row>
    <row r="177" spans="1:15" ht="16.2" outlineLevel="2">
      <c r="A177" s="288"/>
      <c r="B177" s="351" t="s">
        <v>657</v>
      </c>
      <c r="C177" s="388" t="str">
        <f>IF(OR(I177&lt;&gt;0,H177&lt;&gt;0),"x"," ")</f>
        <v xml:space="preserve"> </v>
      </c>
      <c r="D177" s="338" t="str">
        <f>VLOOKUP($B177,DG!A:D,DG!$B$2,)</f>
        <v>02.1124</v>
      </c>
      <c r="E177" s="366" t="str">
        <f>VLOOKUP($B177,DG!A:D,DG!$C$2,)</f>
        <v xml:space="preserve">Bốc dỡ trụ </v>
      </c>
      <c r="F177" s="338" t="str">
        <f>VLOOKUP($B177,DG!A:D,DG!$D$2,)</f>
        <v>tấn</v>
      </c>
      <c r="G177" s="357">
        <f>1.2*0</f>
        <v>0</v>
      </c>
      <c r="H177" s="354"/>
      <c r="I177" s="354"/>
      <c r="J177" s="354"/>
      <c r="K177" s="354"/>
      <c r="L177" s="354"/>
      <c r="M177" s="332"/>
      <c r="N177" s="340"/>
      <c r="O177" s="341"/>
    </row>
    <row r="178" spans="1:15" ht="16.2" outlineLevel="2">
      <c r="A178" s="288"/>
      <c r="B178" s="356" t="s">
        <v>658</v>
      </c>
      <c r="C178" s="388" t="str">
        <f>IF(OR(I178&lt;&gt;0,H178&lt;&gt;0),"x"," ")</f>
        <v xml:space="preserve"> </v>
      </c>
      <c r="D178" s="338" t="str">
        <f>VLOOKUP($B178,DG!A:C,2,)</f>
        <v>02.1461</v>
      </c>
      <c r="E178" s="366" t="str">
        <f>VLOOKUP($B178,DG!A:C,3,)</f>
        <v>V/c cột vào vị trí (cự ly &lt;=100m)</v>
      </c>
      <c r="F178" s="338" t="str">
        <f>VLOOKUP($B178,DG!A:D,4,0)</f>
        <v>tấn</v>
      </c>
      <c r="G178" s="357">
        <f>1.2*0</f>
        <v>0</v>
      </c>
      <c r="H178" s="354"/>
      <c r="I178" s="354"/>
      <c r="J178" s="354"/>
      <c r="K178" s="354"/>
      <c r="L178" s="354"/>
      <c r="M178" s="332"/>
      <c r="N178" s="340"/>
      <c r="O178" s="341"/>
    </row>
    <row r="179" spans="1:15" ht="16.2" outlineLevel="2">
      <c r="A179" s="288"/>
      <c r="B179" s="356" t="s">
        <v>447</v>
      </c>
      <c r="C179" s="388" t="str">
        <f>IF(OR(I179&lt;&gt;0,H179&lt;&gt;0),"x"," ")</f>
        <v xml:space="preserve"> </v>
      </c>
      <c r="D179" s="338" t="str">
        <f>VLOOKUP($B179,DG!A:C,2,)</f>
        <v>02.1482</v>
      </c>
      <c r="E179" s="366" t="str">
        <f>VLOOKUP($B179,DG!A:C,3,)</f>
        <v>V/c dụng cụ thi công vào vị trí (cự ly &lt;=100m)</v>
      </c>
      <c r="F179" s="338" t="str">
        <f>VLOOKUP($B179,DG!A:D,4,0)</f>
        <v>tấn</v>
      </c>
      <c r="G179" s="357">
        <f>0.25*0</f>
        <v>0</v>
      </c>
      <c r="H179" s="354"/>
      <c r="I179" s="354"/>
      <c r="J179" s="354"/>
      <c r="K179" s="354"/>
      <c r="L179" s="354"/>
      <c r="M179" s="332"/>
      <c r="N179" s="340"/>
      <c r="O179" s="341"/>
    </row>
    <row r="180" spans="1:15" ht="16.2" outlineLevel="2">
      <c r="A180" s="395" t="s">
        <v>686</v>
      </c>
      <c r="B180" s="343" t="s">
        <v>686</v>
      </c>
      <c r="C180" s="388" t="str">
        <f>IF(OR(I180&lt;&gt;0,H180&lt;&gt;0),"x"," ")</f>
        <v>x</v>
      </c>
      <c r="D180" s="345"/>
      <c r="E180" s="346" t="s">
        <v>687</v>
      </c>
      <c r="F180" s="347" t="s">
        <v>654</v>
      </c>
      <c r="G180" s="348"/>
      <c r="H180" s="349">
        <f>IFERROR(HLOOKUP(B180,'BKT-ThuHoi'!$5:$183,179,0),0)</f>
        <v>20</v>
      </c>
      <c r="I180" s="349">
        <f>H180+J180-K180</f>
        <v>20</v>
      </c>
      <c r="J180" s="350"/>
      <c r="K180" s="350"/>
      <c r="L180" s="350"/>
      <c r="M180" s="340"/>
      <c r="N180" s="340"/>
      <c r="O180" s="341"/>
    </row>
    <row r="181" spans="1:15" ht="16.2" outlineLevel="2">
      <c r="B181" s="336" t="s">
        <v>684</v>
      </c>
      <c r="C181" s="388" t="str">
        <f>IF(OR(I181&lt;&gt;0,H181&lt;&gt;0),"x"," ")</f>
        <v>x</v>
      </c>
      <c r="D181" s="338"/>
      <c r="E181" s="358" t="str">
        <f>VLOOKUP($B181,DG!A:D,DG!$C$2,)</f>
        <v>Trụ BTLT 12m F350 dự ứng lực</v>
      </c>
      <c r="F181" s="338" t="str">
        <f>VLOOKUP($B181,DG!A:D,DG!$D$2,)</f>
        <v>trụ</v>
      </c>
      <c r="G181" s="359">
        <v>1</v>
      </c>
      <c r="H181" s="360">
        <f>H$180*$G181</f>
        <v>20</v>
      </c>
      <c r="I181" s="360">
        <f>$I$180*G181</f>
        <v>20</v>
      </c>
      <c r="J181" s="360">
        <f>$J$180*G181</f>
        <v>0</v>
      </c>
      <c r="K181" s="360"/>
      <c r="L181" s="360"/>
      <c r="M181" s="339"/>
      <c r="N181" s="340"/>
      <c r="O181" s="341"/>
    </row>
    <row r="182" spans="1:15" ht="16.2" outlineLevel="2">
      <c r="B182" s="336" t="s">
        <v>656</v>
      </c>
      <c r="C182" s="388" t="str">
        <f>IF(OR(I182&lt;&gt;0,H182&lt;&gt;0),"x"," ")</f>
        <v xml:space="preserve"> </v>
      </c>
      <c r="D182" s="338"/>
      <c r="E182" s="366" t="str">
        <f>VLOOKUP($B182,DG!A:D,DG!$C$2,)</f>
        <v>Vật liệu dựng trụ</v>
      </c>
      <c r="F182" s="338" t="str">
        <f>VLOOKUP($B182,DG!A:D,DG!$D$2,)</f>
        <v>trụ</v>
      </c>
      <c r="G182" s="359"/>
      <c r="H182" s="360">
        <f>H$180*$G182</f>
        <v>0</v>
      </c>
      <c r="I182" s="360">
        <f>$I$180*G182</f>
        <v>0</v>
      </c>
      <c r="J182" s="360">
        <f>$J$180*G182</f>
        <v>0</v>
      </c>
      <c r="K182" s="360"/>
      <c r="L182" s="360"/>
      <c r="M182" s="339"/>
      <c r="N182" s="340"/>
      <c r="O182" s="341"/>
    </row>
    <row r="183" spans="1:15" ht="16.2" outlineLevel="2">
      <c r="B183" s="336" t="s">
        <v>688</v>
      </c>
      <c r="C183" s="388" t="str">
        <f>IF(OR(I183&lt;&gt;0,H183&lt;&gt;0),"x"," ")</f>
        <v xml:space="preserve"> </v>
      </c>
      <c r="D183" s="338" t="str">
        <f>VLOOKUP($B183,DG!A:D,DG!$B$2,)</f>
        <v>05.5402</v>
      </c>
      <c r="E183" s="366" t="str">
        <f>VLOOKUP($B183,DG!A:D,DG!$C$2,)</f>
        <v>Dựng trụ BTLT 12m thủ công + cơ giới</v>
      </c>
      <c r="F183" s="338" t="str">
        <f>VLOOKUP($B183,DG!A:D,DG!$D$2,)</f>
        <v>trụ</v>
      </c>
      <c r="G183" s="359"/>
      <c r="H183" s="360">
        <f>H$180*$G183</f>
        <v>0</v>
      </c>
      <c r="I183" s="360">
        <f>$I$180*G183</f>
        <v>0</v>
      </c>
      <c r="J183" s="360">
        <f>$J$180*G183</f>
        <v>0</v>
      </c>
      <c r="K183" s="354"/>
      <c r="L183" s="354"/>
      <c r="M183" s="339"/>
      <c r="N183" s="340"/>
      <c r="O183" s="341"/>
    </row>
    <row r="184" spans="1:15" ht="16.2" outlineLevel="2">
      <c r="A184" s="288"/>
      <c r="B184" s="351" t="s">
        <v>657</v>
      </c>
      <c r="C184" s="388" t="str">
        <f>IF(OR(I184&lt;&gt;0,H184&lt;&gt;0),"x"," ")</f>
        <v xml:space="preserve"> </v>
      </c>
      <c r="D184" s="338" t="str">
        <f>VLOOKUP($B184,DG!A:D,DG!$B$2,)</f>
        <v>02.1124</v>
      </c>
      <c r="E184" s="366" t="str">
        <f>VLOOKUP($B184,DG!A:D,DG!$C$2,)</f>
        <v xml:space="preserve">Bốc dỡ trụ </v>
      </c>
      <c r="F184" s="338" t="str">
        <f>VLOOKUP($B184,DG!A:D,DG!$D$2,)</f>
        <v>tấn</v>
      </c>
      <c r="G184" s="357">
        <f>1.2*0</f>
        <v>0</v>
      </c>
      <c r="H184" s="354"/>
      <c r="I184" s="354"/>
      <c r="J184" s="354"/>
      <c r="K184" s="354"/>
      <c r="L184" s="354"/>
      <c r="M184" s="332"/>
      <c r="N184" s="340"/>
      <c r="O184" s="341"/>
    </row>
    <row r="185" spans="1:15" ht="16.2" outlineLevel="2">
      <c r="A185" s="288"/>
      <c r="B185" s="356" t="s">
        <v>658</v>
      </c>
      <c r="C185" s="388" t="str">
        <f>IF(OR(I185&lt;&gt;0,H185&lt;&gt;0),"x"," ")</f>
        <v xml:space="preserve"> </v>
      </c>
      <c r="D185" s="338" t="str">
        <f>VLOOKUP($B185,DG!A:C,2,)</f>
        <v>02.1461</v>
      </c>
      <c r="E185" s="366" t="str">
        <f>VLOOKUP($B185,DG!A:C,3,)</f>
        <v>V/c cột vào vị trí (cự ly &lt;=100m)</v>
      </c>
      <c r="F185" s="338" t="str">
        <f>VLOOKUP($B185,DG!A:D,4,0)</f>
        <v>tấn</v>
      </c>
      <c r="G185" s="357">
        <f>1.2*0</f>
        <v>0</v>
      </c>
      <c r="H185" s="354"/>
      <c r="I185" s="354"/>
      <c r="J185" s="354"/>
      <c r="K185" s="354"/>
      <c r="L185" s="354"/>
      <c r="M185" s="332"/>
      <c r="N185" s="340"/>
      <c r="O185" s="341"/>
    </row>
    <row r="186" spans="1:15" ht="16.2" outlineLevel="2">
      <c r="A186" s="288"/>
      <c r="B186" s="356" t="s">
        <v>447</v>
      </c>
      <c r="C186" s="388" t="str">
        <f>IF(OR(I186&lt;&gt;0,H186&lt;&gt;0),"x"," ")</f>
        <v xml:space="preserve"> </v>
      </c>
      <c r="D186" s="338" t="str">
        <f>VLOOKUP($B186,DG!A:C,2,)</f>
        <v>02.1482</v>
      </c>
      <c r="E186" s="366" t="str">
        <f>VLOOKUP($B186,DG!A:C,3,)</f>
        <v>V/c dụng cụ thi công vào vị trí (cự ly &lt;=100m)</v>
      </c>
      <c r="F186" s="338" t="str">
        <f>VLOOKUP($B186,DG!A:D,4,0)</f>
        <v>tấn</v>
      </c>
      <c r="G186" s="357">
        <f>0.25*0</f>
        <v>0</v>
      </c>
      <c r="H186" s="354"/>
      <c r="I186" s="354"/>
      <c r="J186" s="354"/>
      <c r="K186" s="354"/>
      <c r="L186" s="354"/>
      <c r="M186" s="332"/>
      <c r="N186" s="340"/>
      <c r="O186" s="341"/>
    </row>
    <row r="187" spans="1:15" ht="16.2" outlineLevel="2">
      <c r="A187" s="394" t="s">
        <v>689</v>
      </c>
      <c r="B187" s="343" t="s">
        <v>689</v>
      </c>
      <c r="C187" s="388" t="str">
        <f>IF(OR(I187&lt;&gt;0,H187&lt;&gt;0),"x"," ")</f>
        <v xml:space="preserve"> </v>
      </c>
      <c r="D187" s="345"/>
      <c r="E187" s="346" t="s">
        <v>690</v>
      </c>
      <c r="F187" s="347" t="s">
        <v>654</v>
      </c>
      <c r="G187" s="348"/>
      <c r="H187" s="349">
        <f>IFERROR(HLOOKUP(B187,'BKT-ThuHoi'!$5:$183,179,0),0)</f>
        <v>0</v>
      </c>
      <c r="I187" s="350"/>
      <c r="J187" s="350"/>
      <c r="K187" s="350"/>
      <c r="L187" s="350"/>
      <c r="M187" s="332"/>
      <c r="N187" s="340"/>
      <c r="O187" s="341"/>
    </row>
    <row r="188" spans="1:15" ht="16.2" outlineLevel="2">
      <c r="A188" s="288"/>
      <c r="B188" s="351" t="s">
        <v>691</v>
      </c>
      <c r="C188" s="388" t="str">
        <f>IF(OR(I188&lt;&gt;0,H188&lt;&gt;0),"x"," ")</f>
        <v xml:space="preserve"> </v>
      </c>
      <c r="D188" s="338"/>
      <c r="E188" s="358" t="str">
        <f>VLOOKUP($B188,DG!A:D,DG!$C$2,)</f>
        <v>Trụ BTLT 12m F350 dự ứng lực (tiếp địa có sẵn)</v>
      </c>
      <c r="F188" s="338" t="str">
        <f>VLOOKUP($B188,DG!A:D,DG!$D$2,)</f>
        <v>trụ</v>
      </c>
      <c r="G188" s="359">
        <v>1</v>
      </c>
      <c r="H188" s="360">
        <f>H$187*$G188</f>
        <v>0</v>
      </c>
      <c r="I188" s="360"/>
      <c r="J188" s="360"/>
      <c r="K188" s="360"/>
      <c r="L188" s="360"/>
      <c r="M188" s="332"/>
      <c r="N188" s="340"/>
      <c r="O188" s="341"/>
    </row>
    <row r="189" spans="1:15" ht="16.2" outlineLevel="2">
      <c r="A189" s="288"/>
      <c r="B189" s="351" t="s">
        <v>656</v>
      </c>
      <c r="C189" s="388" t="str">
        <f>IF(OR(I189&lt;&gt;0,H189&lt;&gt;0),"x"," ")</f>
        <v xml:space="preserve"> </v>
      </c>
      <c r="D189" s="338"/>
      <c r="E189" s="358" t="str">
        <f>VLOOKUP($B189,DG!A:D,DG!$C$2,)</f>
        <v>Vật liệu dựng trụ</v>
      </c>
      <c r="F189" s="338" t="str">
        <f>VLOOKUP($B189,DG!A:D,DG!$D$2,)</f>
        <v>trụ</v>
      </c>
      <c r="G189" s="359">
        <v>1</v>
      </c>
      <c r="H189" s="360">
        <f>H$187*$G189</f>
        <v>0</v>
      </c>
      <c r="I189" s="360"/>
      <c r="J189" s="360"/>
      <c r="K189" s="360"/>
      <c r="L189" s="360"/>
      <c r="M189" s="332"/>
      <c r="N189" s="340"/>
      <c r="O189" s="341"/>
    </row>
    <row r="190" spans="1:15" ht="16.2" outlineLevel="2">
      <c r="A190" s="288"/>
      <c r="B190" s="351" t="s">
        <v>688</v>
      </c>
      <c r="C190" s="388" t="str">
        <f>IF(OR(I190&lt;&gt;0,H190&lt;&gt;0),"x"," ")</f>
        <v xml:space="preserve"> </v>
      </c>
      <c r="D190" s="338" t="str">
        <f>VLOOKUP($B190,DG!A:D,DG!$B$2,)</f>
        <v>05.5402</v>
      </c>
      <c r="E190" s="358" t="str">
        <f>VLOOKUP($B190,DG!A:D,DG!$C$2,)</f>
        <v>Dựng trụ BTLT 12m thủ công + cơ giới</v>
      </c>
      <c r="F190" s="338" t="str">
        <f>VLOOKUP($B190,DG!A:D,DG!$D$2,)</f>
        <v>trụ</v>
      </c>
      <c r="G190" s="359">
        <v>1</v>
      </c>
      <c r="H190" s="354"/>
      <c r="I190" s="354"/>
      <c r="J190" s="354"/>
      <c r="K190" s="354"/>
      <c r="L190" s="354"/>
      <c r="M190" s="332"/>
      <c r="N190" s="340"/>
      <c r="O190" s="341"/>
    </row>
    <row r="191" spans="1:15" ht="16.2" outlineLevel="2">
      <c r="A191" s="391" t="s">
        <v>692</v>
      </c>
      <c r="B191" s="343" t="s">
        <v>692</v>
      </c>
      <c r="C191" s="388" t="str">
        <f>IF(OR(I191&lt;&gt;0,H191&lt;&gt;0),"x"," ")</f>
        <v xml:space="preserve"> </v>
      </c>
      <c r="D191" s="345"/>
      <c r="E191" s="346" t="s">
        <v>693</v>
      </c>
      <c r="F191" s="347" t="s">
        <v>654</v>
      </c>
      <c r="G191" s="348"/>
      <c r="H191" s="349">
        <f>IFERROR(HLOOKUP(B191,'BKT-ThuHoi'!$5:$183,179,0),0)</f>
        <v>0</v>
      </c>
      <c r="I191" s="349">
        <f>H191+J191-K191</f>
        <v>0</v>
      </c>
      <c r="J191" s="350"/>
      <c r="K191" s="350"/>
      <c r="L191" s="350"/>
      <c r="M191" s="332"/>
      <c r="N191" s="340"/>
      <c r="O191" s="341"/>
    </row>
    <row r="192" spans="1:15" ht="16.2" outlineLevel="2">
      <c r="A192" s="288"/>
      <c r="B192" s="351" t="s">
        <v>694</v>
      </c>
      <c r="C192" s="388" t="str">
        <f>IF(OR(I192&lt;&gt;0,H192&lt;&gt;0),"x"," ")</f>
        <v xml:space="preserve"> </v>
      </c>
      <c r="D192" s="338"/>
      <c r="E192" s="358" t="str">
        <f>VLOOKUP($B192,DG!A:D,DG!$C$2,)</f>
        <v>Trụ BTLT 14m F650 dự ứng lực</v>
      </c>
      <c r="F192" s="338" t="str">
        <f>VLOOKUP($B192,DG!A:D,DG!$D$2,)</f>
        <v>trụ</v>
      </c>
      <c r="G192" s="359">
        <v>1</v>
      </c>
      <c r="H192" s="360">
        <f>H$191*$G192</f>
        <v>0</v>
      </c>
      <c r="I192" s="360"/>
      <c r="J192" s="360"/>
      <c r="K192" s="360"/>
      <c r="L192" s="360"/>
      <c r="M192" s="332"/>
      <c r="N192" s="340"/>
      <c r="O192" s="341"/>
    </row>
    <row r="193" spans="1:15" ht="16.2" outlineLevel="2">
      <c r="A193" s="288"/>
      <c r="B193" s="351" t="s">
        <v>656</v>
      </c>
      <c r="C193" s="388" t="str">
        <f>IF(OR(I193&lt;&gt;0,H193&lt;&gt;0),"x"," ")</f>
        <v xml:space="preserve"> </v>
      </c>
      <c r="D193" s="338"/>
      <c r="E193" s="358" t="str">
        <f>VLOOKUP($B193,DG!A:D,DG!$C$2,)</f>
        <v>Vật liệu dựng trụ</v>
      </c>
      <c r="F193" s="338" t="str">
        <f>VLOOKUP($B193,DG!A:D,DG!$D$2,)</f>
        <v>trụ</v>
      </c>
      <c r="G193" s="359">
        <v>1</v>
      </c>
      <c r="H193" s="360">
        <f>H$191*$G193</f>
        <v>0</v>
      </c>
      <c r="I193" s="360"/>
      <c r="J193" s="360"/>
      <c r="K193" s="360"/>
      <c r="L193" s="360"/>
      <c r="M193" s="332"/>
      <c r="N193" s="340"/>
      <c r="O193" s="341"/>
    </row>
    <row r="194" spans="1:15" ht="16.2" outlineLevel="2">
      <c r="A194" s="288"/>
      <c r="B194" s="351" t="s">
        <v>695</v>
      </c>
      <c r="C194" s="388" t="str">
        <f>IF(OR(I194&lt;&gt;0,H194&lt;&gt;0),"x"," ")</f>
        <v xml:space="preserve"> </v>
      </c>
      <c r="D194" s="338" t="str">
        <f>VLOOKUP($B194,DG!A:D,DG!$B$2,)</f>
        <v>05.5224</v>
      </c>
      <c r="E194" s="358" t="str">
        <f>VLOOKUP($B194,DG!A:D,DG!$C$2,)</f>
        <v>Dựng trụ BTLT 14m thủ công + cơ giới</v>
      </c>
      <c r="F194" s="338" t="str">
        <f>VLOOKUP($B194,DG!A:D,DG!$D$2,)</f>
        <v>trụ</v>
      </c>
      <c r="G194" s="359">
        <v>1</v>
      </c>
      <c r="H194" s="354"/>
      <c r="I194" s="354"/>
      <c r="J194" s="354"/>
      <c r="K194" s="354"/>
      <c r="L194" s="354"/>
      <c r="M194" s="332"/>
      <c r="N194" s="340"/>
      <c r="O194" s="341"/>
    </row>
    <row r="195" spans="1:15" ht="16.2" outlineLevel="2">
      <c r="A195" s="288"/>
      <c r="B195" s="351" t="s">
        <v>657</v>
      </c>
      <c r="C195" s="388" t="str">
        <f>IF(OR(I195&lt;&gt;0,H195&lt;&gt;0),"x"," ")</f>
        <v xml:space="preserve"> </v>
      </c>
      <c r="D195" s="338" t="str">
        <f>VLOOKUP($B195,DG!A:D,DG!$B$2,)</f>
        <v>02.1124</v>
      </c>
      <c r="E195" s="366" t="str">
        <f>VLOOKUP($B195,DG!A:D,DG!$C$2,)</f>
        <v xml:space="preserve">Bốc dỡ trụ </v>
      </c>
      <c r="F195" s="338" t="str">
        <f>VLOOKUP($B195,DG!A:D,DG!$D$2,)</f>
        <v>tấn</v>
      </c>
      <c r="G195" s="357"/>
      <c r="H195" s="354"/>
      <c r="I195" s="354"/>
      <c r="J195" s="354"/>
      <c r="K195" s="354"/>
      <c r="L195" s="354"/>
      <c r="M195" s="332"/>
      <c r="N195" s="340"/>
      <c r="O195" s="341"/>
    </row>
    <row r="196" spans="1:15" ht="16.2" outlineLevel="2">
      <c r="A196" s="288"/>
      <c r="B196" s="356" t="s">
        <v>658</v>
      </c>
      <c r="C196" s="388" t="str">
        <f>IF(OR(I196&lt;&gt;0,H196&lt;&gt;0),"x"," ")</f>
        <v xml:space="preserve"> </v>
      </c>
      <c r="D196" s="338" t="str">
        <f>VLOOKUP($B196,DG!A:C,2,)</f>
        <v>02.1461</v>
      </c>
      <c r="E196" s="366" t="str">
        <f>VLOOKUP($B196,DG!A:C,3,)</f>
        <v>V/c cột vào vị trí (cự ly &lt;=100m)</v>
      </c>
      <c r="F196" s="338" t="str">
        <f>VLOOKUP($B196,DG!A:D,4,0)</f>
        <v>tấn</v>
      </c>
      <c r="G196" s="357"/>
      <c r="H196" s="354"/>
      <c r="I196" s="354"/>
      <c r="J196" s="354"/>
      <c r="K196" s="354"/>
      <c r="L196" s="354"/>
      <c r="M196" s="332"/>
      <c r="N196" s="340"/>
      <c r="O196" s="341"/>
    </row>
    <row r="197" spans="1:15" ht="16.2" outlineLevel="2">
      <c r="A197" s="288"/>
      <c r="B197" s="356" t="s">
        <v>447</v>
      </c>
      <c r="C197" s="388" t="str">
        <f>IF(OR(I197&lt;&gt;0,H197&lt;&gt;0),"x"," ")</f>
        <v xml:space="preserve"> </v>
      </c>
      <c r="D197" s="338" t="str">
        <f>VLOOKUP($B197,DG!A:C,2,)</f>
        <v>02.1482</v>
      </c>
      <c r="E197" s="366" t="str">
        <f>VLOOKUP($B197,DG!A:C,3,)</f>
        <v>V/c dụng cụ thi công vào vị trí (cự ly &lt;=100m)</v>
      </c>
      <c r="F197" s="338" t="str">
        <f>VLOOKUP($B197,DG!A:D,4,0)</f>
        <v>tấn</v>
      </c>
      <c r="G197" s="357"/>
      <c r="H197" s="354"/>
      <c r="I197" s="354"/>
      <c r="J197" s="354"/>
      <c r="K197" s="354"/>
      <c r="L197" s="354"/>
      <c r="M197" s="332"/>
      <c r="N197" s="340"/>
      <c r="O197" s="341"/>
    </row>
    <row r="198" spans="1:15" ht="16.2" outlineLevel="2">
      <c r="A198" s="391" t="s">
        <v>696</v>
      </c>
      <c r="B198" s="343" t="s">
        <v>696</v>
      </c>
      <c r="C198" s="388" t="str">
        <f>IF(OR(I198&lt;&gt;0,H198&lt;&gt;0),"x"," ")</f>
        <v xml:space="preserve"> </v>
      </c>
      <c r="D198" s="345"/>
      <c r="E198" s="346" t="s">
        <v>697</v>
      </c>
      <c r="F198" s="347" t="s">
        <v>654</v>
      </c>
      <c r="G198" s="348"/>
      <c r="H198" s="349">
        <f>IFERROR(HLOOKUP(B198,'BKT-ThuHoi'!$5:$183,179,0),0)</f>
        <v>0</v>
      </c>
      <c r="I198" s="350"/>
      <c r="J198" s="350"/>
      <c r="K198" s="350"/>
      <c r="L198" s="350"/>
      <c r="M198" s="332"/>
      <c r="N198" s="340"/>
      <c r="O198" s="341"/>
    </row>
    <row r="199" spans="1:15" ht="16.2" outlineLevel="2">
      <c r="A199" s="288"/>
      <c r="B199" s="351" t="s">
        <v>698</v>
      </c>
      <c r="C199" s="388" t="str">
        <f>IF(OR(I199&lt;&gt;0,H199&lt;&gt;0),"x"," ")</f>
        <v xml:space="preserve"> </v>
      </c>
      <c r="D199" s="338"/>
      <c r="E199" s="358" t="str">
        <f>VLOOKUP($B199,DG!A:D,DG!$C$2,)</f>
        <v>Trụ BTLT 20m F1000 dự ứng lực</v>
      </c>
      <c r="F199" s="338" t="str">
        <f>VLOOKUP($B199,DG!A:D,DG!$D$2,)</f>
        <v>trụ</v>
      </c>
      <c r="G199" s="359">
        <v>1</v>
      </c>
      <c r="H199" s="360">
        <f t="shared" ref="H199:H200" si="10">H$198*$G199</f>
        <v>0</v>
      </c>
      <c r="I199" s="360"/>
      <c r="J199" s="360"/>
      <c r="K199" s="360"/>
      <c r="L199" s="360"/>
      <c r="M199" s="332"/>
      <c r="N199" s="340"/>
      <c r="O199" s="341"/>
    </row>
    <row r="200" spans="1:15" ht="16.2" outlineLevel="2">
      <c r="A200" s="288"/>
      <c r="B200" s="351" t="s">
        <v>656</v>
      </c>
      <c r="C200" s="388" t="str">
        <f>IF(OR(I200&lt;&gt;0,H200&lt;&gt;0),"x"," ")</f>
        <v xml:space="preserve"> </v>
      </c>
      <c r="D200" s="338"/>
      <c r="E200" s="358" t="str">
        <f>VLOOKUP($B200,DG!A:D,DG!$C$2,)</f>
        <v>Vật liệu dựng trụ</v>
      </c>
      <c r="F200" s="338" t="str">
        <f>VLOOKUP($B200,DG!A:D,DG!$D$2,)</f>
        <v>trụ</v>
      </c>
      <c r="G200" s="359">
        <v>1</v>
      </c>
      <c r="H200" s="360">
        <f t="shared" si="10"/>
        <v>0</v>
      </c>
      <c r="I200" s="360"/>
      <c r="J200" s="360"/>
      <c r="K200" s="360"/>
      <c r="L200" s="360"/>
      <c r="M200" s="332"/>
      <c r="N200" s="340"/>
      <c r="O200" s="341"/>
    </row>
    <row r="201" spans="1:15" ht="16.2" outlineLevel="2">
      <c r="A201" s="288"/>
      <c r="B201" s="351" t="s">
        <v>699</v>
      </c>
      <c r="C201" s="388" t="str">
        <f>IF(OR(I201&lt;&gt;0,H201&lt;&gt;0),"x"," ")</f>
        <v xml:space="preserve"> </v>
      </c>
      <c r="D201" s="338" t="str">
        <f>VLOOKUP($B201,DG!A:D,DG!$B$2,)</f>
        <v>05.5227</v>
      </c>
      <c r="E201" s="358" t="str">
        <f>VLOOKUP($B201,DG!A:D,DG!$C$2,)</f>
        <v>Dựng trụ BTLT 20m thủ công + cơ giới</v>
      </c>
      <c r="F201" s="338" t="str">
        <f>VLOOKUP($B201,DG!A:D,DG!$D$2,)</f>
        <v>trụ</v>
      </c>
      <c r="G201" s="359">
        <v>1</v>
      </c>
      <c r="H201" s="354"/>
      <c r="I201" s="354"/>
      <c r="J201" s="354"/>
      <c r="K201" s="354"/>
      <c r="L201" s="354"/>
      <c r="M201" s="332"/>
      <c r="N201" s="340"/>
      <c r="O201" s="341"/>
    </row>
    <row r="202" spans="1:15" ht="16.2" outlineLevel="2">
      <c r="A202" s="288"/>
      <c r="B202" s="351" t="s">
        <v>657</v>
      </c>
      <c r="C202" s="388" t="str">
        <f>IF(OR(I202&lt;&gt;0,H202&lt;&gt;0),"x"," ")</f>
        <v xml:space="preserve"> </v>
      </c>
      <c r="D202" s="338" t="str">
        <f>VLOOKUP($B202,DG!A:D,DG!$B$2,)</f>
        <v>02.1124</v>
      </c>
      <c r="E202" s="366" t="str">
        <f>VLOOKUP($B202,DG!A:D,DG!$C$2,)</f>
        <v xml:space="preserve">Bốc dỡ trụ </v>
      </c>
      <c r="F202" s="338" t="str">
        <f>VLOOKUP($B202,DG!A:D,DG!$D$2,)</f>
        <v>tấn</v>
      </c>
      <c r="G202" s="357">
        <v>2.72</v>
      </c>
      <c r="H202" s="354"/>
      <c r="I202" s="354"/>
      <c r="J202" s="354"/>
      <c r="K202" s="354"/>
      <c r="L202" s="354"/>
      <c r="M202" s="332"/>
      <c r="N202" s="340"/>
      <c r="O202" s="341"/>
    </row>
    <row r="203" spans="1:15" ht="16.2" outlineLevel="2">
      <c r="A203" s="288"/>
      <c r="B203" s="356" t="s">
        <v>658</v>
      </c>
      <c r="C203" s="388" t="str">
        <f>IF(OR(I203&lt;&gt;0,H203&lt;&gt;0),"x"," ")</f>
        <v xml:space="preserve"> </v>
      </c>
      <c r="D203" s="338" t="str">
        <f>VLOOKUP($B203,DG!A:C,2,)</f>
        <v>02.1461</v>
      </c>
      <c r="E203" s="366" t="str">
        <f>VLOOKUP($B203,DG!A:C,3,)</f>
        <v>V/c cột vào vị trí (cự ly &lt;=100m)</v>
      </c>
      <c r="F203" s="338" t="str">
        <f>VLOOKUP($B203,DG!A:D,4,0)</f>
        <v>tấn</v>
      </c>
      <c r="G203" s="357">
        <v>2.72</v>
      </c>
      <c r="H203" s="354"/>
      <c r="I203" s="354"/>
      <c r="J203" s="354"/>
      <c r="K203" s="354"/>
      <c r="L203" s="354"/>
      <c r="M203" s="332"/>
      <c r="N203" s="340"/>
      <c r="O203" s="341"/>
    </row>
    <row r="204" spans="1:15" ht="16.2" outlineLevel="2">
      <c r="A204" s="288"/>
      <c r="B204" s="356" t="s">
        <v>447</v>
      </c>
      <c r="C204" s="388" t="str">
        <f>IF(OR(I204&lt;&gt;0,H204&lt;&gt;0),"x"," ")</f>
        <v xml:space="preserve"> </v>
      </c>
      <c r="D204" s="338" t="str">
        <f>VLOOKUP($B204,DG!A:C,2,)</f>
        <v>02.1482</v>
      </c>
      <c r="E204" s="366" t="str">
        <f>VLOOKUP($B204,DG!A:C,3,)</f>
        <v>V/c dụng cụ thi công vào vị trí (cự ly &lt;=100m)</v>
      </c>
      <c r="F204" s="338" t="str">
        <f>VLOOKUP($B204,DG!A:D,4,0)</f>
        <v>tấn</v>
      </c>
      <c r="G204" s="357">
        <v>0.25</v>
      </c>
      <c r="H204" s="354"/>
      <c r="I204" s="354"/>
      <c r="J204" s="354"/>
      <c r="K204" s="354"/>
      <c r="L204" s="354"/>
      <c r="M204" s="332"/>
      <c r="N204" s="340"/>
      <c r="O204" s="341"/>
    </row>
    <row r="205" spans="1:15" ht="17.25" customHeight="1">
      <c r="A205" s="372"/>
      <c r="B205" s="343">
        <v>0</v>
      </c>
      <c r="C205" s="388" t="str">
        <f>IF(I205&lt;&gt;0,"x"," ")</f>
        <v>x</v>
      </c>
      <c r="D205" s="347" t="s">
        <v>700</v>
      </c>
      <c r="E205" s="346" t="s">
        <v>701</v>
      </c>
      <c r="F205" s="345"/>
      <c r="G205" s="389">
        <f>SUM(H205:H205)+L205</f>
        <v>0</v>
      </c>
      <c r="H205" s="349">
        <f>IFERROR(HLOOKUP(B205,'BKT-ThuHoi'!$5:$183,179,0),0)</f>
        <v>0</v>
      </c>
      <c r="I205" s="349" t="str">
        <f>IF(SUM(I206:I894)&gt;0," ","")</f>
        <v xml:space="preserve"> </v>
      </c>
      <c r="J205" s="345"/>
      <c r="K205" s="345"/>
      <c r="L205" s="345"/>
      <c r="M205" s="340"/>
      <c r="N205" s="340"/>
      <c r="O205" s="341"/>
    </row>
    <row r="206" spans="1:15" ht="16.2" outlineLevel="1">
      <c r="A206" s="342" t="s">
        <v>702</v>
      </c>
      <c r="B206" s="343" t="s">
        <v>702</v>
      </c>
      <c r="C206" s="388" t="str">
        <f>IF(OR(I206&lt;&gt;0,H206&lt;&gt;0),"x"," ")</f>
        <v>x</v>
      </c>
      <c r="D206" s="345"/>
      <c r="E206" s="346" t="s">
        <v>703</v>
      </c>
      <c r="F206" s="347" t="s">
        <v>285</v>
      </c>
      <c r="G206" s="348"/>
      <c r="H206" s="349">
        <f>IFERROR(HLOOKUP(B206,'BKT-ThuHoi'!$5:$183,179,0),0)</f>
        <v>74</v>
      </c>
      <c r="I206" s="350"/>
      <c r="J206" s="350"/>
      <c r="K206" s="350"/>
      <c r="L206" s="350"/>
      <c r="M206" s="332"/>
      <c r="N206" s="340"/>
      <c r="O206" s="341"/>
    </row>
    <row r="207" spans="1:15" ht="16.2" outlineLevel="1">
      <c r="A207" s="288"/>
      <c r="B207" s="351" t="s">
        <v>3977</v>
      </c>
      <c r="C207" s="388" t="str">
        <f>IF(OR(I207&lt;&gt;0,H207&lt;&gt;0),"x"," ")</f>
        <v>x</v>
      </c>
      <c r="D207" s="338"/>
      <c r="E207" s="358" t="str">
        <f>VLOOKUP($B207,DG!A:D,DG!$C$2,)</f>
        <v>Đà 1,66m X-16Đ</v>
      </c>
      <c r="F207" s="338" t="str">
        <f>VLOOKUP($B207,DG!A:D,DG!$D$2,)</f>
        <v>Cái</v>
      </c>
      <c r="G207" s="357">
        <v>1</v>
      </c>
      <c r="H207" s="360">
        <f>H$206*G207</f>
        <v>74</v>
      </c>
      <c r="I207" s="360">
        <f>I$206*H207</f>
        <v>0</v>
      </c>
      <c r="J207" s="360"/>
      <c r="K207" s="360"/>
      <c r="L207" s="360"/>
      <c r="M207" s="332"/>
      <c r="N207" s="340"/>
      <c r="O207" s="341"/>
    </row>
    <row r="208" spans="1:15" ht="16.2" outlineLevel="1">
      <c r="A208" s="288"/>
      <c r="B208" s="351" t="s">
        <v>3891</v>
      </c>
      <c r="C208" s="388" t="str">
        <f>IF(OR(I208&lt;&gt;0,H208&lt;&gt;0),"x"," ")</f>
        <v>x</v>
      </c>
      <c r="D208" s="338"/>
      <c r="E208" s="358" t="str">
        <f>VLOOKUP($B208,DG!A:D,DG!$C$2,)</f>
        <v>Thanh chống đà  810</v>
      </c>
      <c r="F208" s="338" t="str">
        <f>VLOOKUP($B208,DG!A:D,DG!$D$2,)</f>
        <v>cái</v>
      </c>
      <c r="G208" s="357">
        <v>2</v>
      </c>
      <c r="H208" s="360">
        <f t="shared" ref="H208:I212" si="11">H$206*G208</f>
        <v>148</v>
      </c>
      <c r="I208" s="360">
        <f t="shared" si="11"/>
        <v>0</v>
      </c>
      <c r="J208" s="360"/>
      <c r="K208" s="360"/>
      <c r="L208" s="360"/>
      <c r="M208" s="332"/>
      <c r="N208" s="340"/>
      <c r="O208" s="341"/>
    </row>
    <row r="209" spans="1:15" ht="16.2" outlineLevel="1">
      <c r="A209" s="288"/>
      <c r="B209" s="351" t="s">
        <v>706</v>
      </c>
      <c r="C209" s="388" t="str">
        <f>IF(OR(I209&lt;&gt;0,H209&lt;&gt;0),"x"," ")</f>
        <v>x</v>
      </c>
      <c r="D209" s="338"/>
      <c r="E209" s="358" t="str">
        <f>VLOOKUP($B209,DG!A:D,DG!$C$2,)</f>
        <v>Chân sứ đỉnh thẳng dài 870mm</v>
      </c>
      <c r="F209" s="338" t="str">
        <f>VLOOKUP($B209,DG!A:D,DG!$D$2,)</f>
        <v>cái</v>
      </c>
      <c r="G209" s="359">
        <v>1</v>
      </c>
      <c r="H209" s="360">
        <f t="shared" si="11"/>
        <v>74</v>
      </c>
      <c r="I209" s="360">
        <f t="shared" si="11"/>
        <v>0</v>
      </c>
      <c r="J209" s="360"/>
      <c r="K209" s="360"/>
      <c r="L209" s="360"/>
      <c r="M209" s="332"/>
      <c r="N209" s="340"/>
      <c r="O209" s="341"/>
    </row>
    <row r="210" spans="1:15" ht="16.2" outlineLevel="1">
      <c r="A210" s="288"/>
      <c r="B210" s="351" t="s">
        <v>707</v>
      </c>
      <c r="C210" s="388" t="str">
        <f>IF(OR(I210&lt;&gt;0,H210&lt;&gt;0),"x"," ")</f>
        <v>x</v>
      </c>
      <c r="D210" s="338"/>
      <c r="E210" s="358" t="str">
        <f>VLOOKUP($B210,DG!A:D,DG!$C$2,)</f>
        <v>Boulon 16x250</v>
      </c>
      <c r="F210" s="338" t="str">
        <f>VLOOKUP($B210,DG!A:D,DG!$D$2,)</f>
        <v>bộ</v>
      </c>
      <c r="G210" s="359">
        <v>4</v>
      </c>
      <c r="H210" s="360">
        <f t="shared" si="11"/>
        <v>296</v>
      </c>
      <c r="I210" s="360">
        <f t="shared" si="11"/>
        <v>0</v>
      </c>
      <c r="J210" s="360"/>
      <c r="K210" s="360"/>
      <c r="L210" s="360"/>
      <c r="M210" s="332"/>
      <c r="N210" s="340"/>
      <c r="O210" s="341"/>
    </row>
    <row r="211" spans="1:15" ht="16.2" outlineLevel="1">
      <c r="A211" s="288"/>
      <c r="B211" s="351" t="s">
        <v>708</v>
      </c>
      <c r="C211" s="388" t="str">
        <f>IF(OR(I211&lt;&gt;0,H211&lt;&gt;0),"x"," ")</f>
        <v>x</v>
      </c>
      <c r="D211" s="338"/>
      <c r="E211" s="358" t="str">
        <f>VLOOKUP($B211,DG!A:D,DG!$C$2,)</f>
        <v>Boulon 16x50</v>
      </c>
      <c r="F211" s="338" t="str">
        <f>VLOOKUP($B211,DG!A:D,DG!$D$2,)</f>
        <v>bộ</v>
      </c>
      <c r="G211" s="359">
        <v>2</v>
      </c>
      <c r="H211" s="360">
        <f t="shared" si="11"/>
        <v>148</v>
      </c>
      <c r="I211" s="360">
        <f t="shared" si="11"/>
        <v>0</v>
      </c>
      <c r="J211" s="360"/>
      <c r="K211" s="360"/>
      <c r="L211" s="360"/>
      <c r="M211" s="332"/>
      <c r="N211" s="340"/>
      <c r="O211" s="341"/>
    </row>
    <row r="212" spans="1:15" ht="16.2" outlineLevel="1">
      <c r="A212" s="288"/>
      <c r="B212" s="351" t="s">
        <v>963</v>
      </c>
      <c r="C212" s="388" t="str">
        <f>IF(OR(I212&lt;&gt;0,H212&lt;&gt;0),"x"," ")</f>
        <v>x</v>
      </c>
      <c r="D212" s="363">
        <f>VLOOKUP($B212,DG!A:D,DG!$B$2,)</f>
        <v>0</v>
      </c>
      <c r="E212" s="366" t="str">
        <f>VLOOKUP($B212,DG!A:D,DG!$C$2,)</f>
        <v xml:space="preserve">Sứ đứng 24KV </v>
      </c>
      <c r="F212" s="338" t="str">
        <f>VLOOKUP($B212,DG!A:D,DG!$D$2,)</f>
        <v>cái</v>
      </c>
      <c r="G212" s="359">
        <v>3</v>
      </c>
      <c r="H212" s="360">
        <f t="shared" si="11"/>
        <v>222</v>
      </c>
      <c r="I212" s="360">
        <f t="shared" si="11"/>
        <v>0</v>
      </c>
      <c r="J212" s="354"/>
      <c r="K212" s="354"/>
      <c r="L212" s="354"/>
      <c r="M212" s="332"/>
      <c r="N212" s="340"/>
      <c r="O212" s="341"/>
    </row>
    <row r="213" spans="1:15" ht="16.2" outlineLevel="1">
      <c r="A213" s="288"/>
      <c r="B213" s="351" t="s">
        <v>710</v>
      </c>
      <c r="C213" s="388" t="str">
        <f>IF(OR(I213&lt;&gt;0,H213&lt;&gt;0),"x"," ")</f>
        <v xml:space="preserve"> </v>
      </c>
      <c r="D213" s="338" t="str">
        <f>VLOOKUP($B213,DG!A:D,DG!$B$2,)</f>
        <v>02.1115</v>
      </c>
      <c r="E213" s="366" t="str">
        <f>VLOOKUP($B213,DG!A:D,DG!$C$2,)</f>
        <v>Bốc dỡ xà, thép thanh</v>
      </c>
      <c r="F213" s="338" t="str">
        <f>VLOOKUP($B213,DG!A:D,DG!$D$2,)</f>
        <v>tấn</v>
      </c>
      <c r="G213" s="353"/>
      <c r="H213" s="354"/>
      <c r="I213" s="354"/>
      <c r="J213" s="354"/>
      <c r="K213" s="354"/>
      <c r="L213" s="354"/>
      <c r="M213" s="332"/>
      <c r="N213" s="340"/>
      <c r="O213" s="341"/>
    </row>
    <row r="214" spans="1:15" ht="16.2" outlineLevel="1">
      <c r="A214" s="288"/>
      <c r="B214" s="356" t="s">
        <v>711</v>
      </c>
      <c r="C214" s="388" t="str">
        <f>IF(OR(I214&lt;&gt;0,H214&lt;&gt;0),"x"," ")</f>
        <v xml:space="preserve"> </v>
      </c>
      <c r="D214" s="338" t="str">
        <f>VLOOKUP($B214,DG!A:C,2,)</f>
        <v>02.1361</v>
      </c>
      <c r="E214" s="366" t="str">
        <f>VLOOKUP($B214,DG!A:C,3,)</f>
        <v>V/c xà vào vị trí (cư ly &lt;=100m)</v>
      </c>
      <c r="F214" s="338" t="str">
        <f>VLOOKUP($B214,DG!A:D,4,0)</f>
        <v>tấn</v>
      </c>
      <c r="G214" s="353"/>
      <c r="H214" s="354"/>
      <c r="I214" s="354"/>
      <c r="J214" s="354"/>
      <c r="K214" s="354"/>
      <c r="L214" s="354"/>
      <c r="M214" s="332"/>
      <c r="N214" s="340"/>
      <c r="O214" s="341"/>
    </row>
    <row r="215" spans="1:15" ht="16.2" outlineLevel="1">
      <c r="A215" s="288"/>
      <c r="B215" s="356" t="s">
        <v>447</v>
      </c>
      <c r="C215" s="388" t="str">
        <f>IF(OR(I215&lt;&gt;0,H215&lt;&gt;0),"x"," ")</f>
        <v xml:space="preserve"> </v>
      </c>
      <c r="D215" s="338" t="str">
        <f>VLOOKUP($B215,DG!A:C,2,)</f>
        <v>02.1482</v>
      </c>
      <c r="E215" s="366" t="str">
        <f>VLOOKUP($B215,DG!A:C,3,)</f>
        <v>V/c dụng cụ thi công vào vị trí (cự ly &lt;=100m)</v>
      </c>
      <c r="F215" s="338" t="str">
        <f>VLOOKUP($B215,DG!A:D,4,0)</f>
        <v>tấn</v>
      </c>
      <c r="G215" s="357"/>
      <c r="H215" s="354"/>
      <c r="I215" s="354"/>
      <c r="J215" s="354"/>
      <c r="K215" s="354"/>
      <c r="L215" s="354"/>
      <c r="M215" s="332"/>
      <c r="N215" s="340"/>
      <c r="O215" s="341"/>
    </row>
    <row r="216" spans="1:15" ht="16.2" outlineLevel="1">
      <c r="A216" s="342" t="s">
        <v>712</v>
      </c>
      <c r="B216" s="343" t="s">
        <v>712</v>
      </c>
      <c r="C216" s="388" t="str">
        <f>IF(OR(I216&lt;&gt;0,H216&lt;&gt;0),"x"," ")</f>
        <v>x</v>
      </c>
      <c r="D216" s="345"/>
      <c r="E216" s="346" t="s">
        <v>713</v>
      </c>
      <c r="F216" s="347" t="s">
        <v>285</v>
      </c>
      <c r="G216" s="348"/>
      <c r="H216" s="349">
        <f>IFERROR(HLOOKUP(B216,'BKT-ThuHoi'!$5:$183,179,0),0)</f>
        <v>9</v>
      </c>
      <c r="I216" s="350"/>
      <c r="J216" s="350"/>
      <c r="K216" s="350"/>
      <c r="L216" s="350"/>
      <c r="M216" s="332"/>
      <c r="N216" s="340"/>
      <c r="O216" s="341"/>
    </row>
    <row r="217" spans="1:15" ht="16.2" outlineLevel="1">
      <c r="A217" s="288"/>
      <c r="B217" s="351" t="s">
        <v>3890</v>
      </c>
      <c r="C217" s="388" t="str">
        <f>IF(OR(I217&lt;&gt;0,H217&lt;&gt;0),"x"," ")</f>
        <v>x</v>
      </c>
      <c r="D217" s="338"/>
      <c r="E217" s="358" t="str">
        <f>VLOOKUP($B217,DG!A:D,DG!$C$2,)</f>
        <v>Đà 1,66m X-16Đ</v>
      </c>
      <c r="F217" s="338" t="str">
        <f>VLOOKUP($B217,DG!A:D,DG!$D$2,)</f>
        <v>Cái</v>
      </c>
      <c r="G217" s="357">
        <v>1</v>
      </c>
      <c r="H217" s="360">
        <f>H$216*G217</f>
        <v>9</v>
      </c>
      <c r="I217" s="360"/>
      <c r="J217" s="360"/>
      <c r="K217" s="360"/>
      <c r="L217" s="360"/>
      <c r="M217" s="332"/>
      <c r="N217" s="340"/>
      <c r="O217" s="341"/>
    </row>
    <row r="218" spans="1:15" ht="16.2" outlineLevel="1">
      <c r="A218" s="288"/>
      <c r="B218" s="351" t="s">
        <v>3891</v>
      </c>
      <c r="C218" s="388" t="str">
        <f>IF(OR(I218&lt;&gt;0,H218&lt;&gt;0),"x"," ")</f>
        <v>x</v>
      </c>
      <c r="D218" s="338"/>
      <c r="E218" s="358" t="str">
        <f>VLOOKUP($B218,DG!A:D,DG!$C$2,)</f>
        <v>Thanh chống đà  810</v>
      </c>
      <c r="F218" s="338" t="str">
        <f>VLOOKUP($B218,DG!A:D,DG!$D$2,)</f>
        <v>cái</v>
      </c>
      <c r="G218" s="357">
        <v>2</v>
      </c>
      <c r="H218" s="360">
        <f t="shared" ref="H218:H222" si="12">H$216*G218</f>
        <v>18</v>
      </c>
      <c r="I218" s="360"/>
      <c r="J218" s="360"/>
      <c r="K218" s="360"/>
      <c r="L218" s="360"/>
      <c r="M218" s="332"/>
      <c r="N218" s="340"/>
      <c r="O218" s="341"/>
    </row>
    <row r="219" spans="1:15" ht="16.2" outlineLevel="1">
      <c r="A219" s="288"/>
      <c r="B219" s="351" t="s">
        <v>707</v>
      </c>
      <c r="C219" s="388" t="str">
        <f>IF(OR(I219&lt;&gt;0,H219&lt;&gt;0),"x"," ")</f>
        <v>x</v>
      </c>
      <c r="D219" s="338"/>
      <c r="E219" s="358" t="str">
        <f>VLOOKUP($B219,DG!A:D,DG!$C$2,)</f>
        <v>Boulon 16x250</v>
      </c>
      <c r="F219" s="338" t="str">
        <f>VLOOKUP($B219,DG!A:D,DG!$D$2,)</f>
        <v>bộ</v>
      </c>
      <c r="G219" s="359">
        <v>4</v>
      </c>
      <c r="H219" s="360">
        <f t="shared" si="12"/>
        <v>36</v>
      </c>
      <c r="I219" s="360"/>
      <c r="J219" s="360"/>
      <c r="K219" s="360"/>
      <c r="L219" s="360"/>
      <c r="M219" s="332"/>
      <c r="N219" s="340"/>
      <c r="O219" s="341"/>
    </row>
    <row r="220" spans="1:15" ht="16.2" outlineLevel="1">
      <c r="A220" s="288"/>
      <c r="B220" s="351" t="s">
        <v>714</v>
      </c>
      <c r="C220" s="388" t="str">
        <f>IF(OR(I220&lt;&gt;0,H220&lt;&gt;0),"x"," ")</f>
        <v>x</v>
      </c>
      <c r="D220" s="338"/>
      <c r="E220" s="358" t="str">
        <f>VLOOKUP($B220,DG!A:D,DG!$C$2,)</f>
        <v>Boulon 16x250VRS+ 4 long đền vuông D18-50x50x3/Zn</v>
      </c>
      <c r="F220" s="338" t="str">
        <f>VLOOKUP($B220,DG!A:D,DG!$D$2,)</f>
        <v>bộ</v>
      </c>
      <c r="G220" s="359">
        <v>2</v>
      </c>
      <c r="H220" s="360">
        <f t="shared" si="12"/>
        <v>18</v>
      </c>
      <c r="I220" s="360"/>
      <c r="J220" s="360"/>
      <c r="K220" s="360"/>
      <c r="L220" s="360"/>
      <c r="M220" s="332"/>
      <c r="N220" s="340"/>
      <c r="O220" s="341"/>
    </row>
    <row r="221" spans="1:15" ht="16.2" outlineLevel="1">
      <c r="A221" s="288"/>
      <c r="B221" s="351" t="s">
        <v>708</v>
      </c>
      <c r="C221" s="388" t="str">
        <f>IF(OR(I221&lt;&gt;0,H221&lt;&gt;0),"x"," ")</f>
        <v>x</v>
      </c>
      <c r="D221" s="338"/>
      <c r="E221" s="358" t="str">
        <f>VLOOKUP($B221,DG!A:D,DG!$C$2,)</f>
        <v>Boulon 16x50</v>
      </c>
      <c r="F221" s="338" t="str">
        <f>VLOOKUP($B221,DG!A:D,DG!$D$2,)</f>
        <v>bộ</v>
      </c>
      <c r="G221" s="359">
        <v>4</v>
      </c>
      <c r="H221" s="360">
        <f t="shared" si="12"/>
        <v>36</v>
      </c>
      <c r="I221" s="360"/>
      <c r="J221" s="360"/>
      <c r="K221" s="360"/>
      <c r="L221" s="360"/>
      <c r="M221" s="332"/>
      <c r="N221" s="340"/>
      <c r="O221" s="341"/>
    </row>
    <row r="222" spans="1:15" ht="16.2" outlineLevel="1">
      <c r="A222" s="288"/>
      <c r="B222" s="351" t="s">
        <v>706</v>
      </c>
      <c r="C222" s="388" t="str">
        <f>IF(OR(I222&lt;&gt;0,H222&lt;&gt;0),"x"," ")</f>
        <v>x</v>
      </c>
      <c r="D222" s="396">
        <f>VLOOKUP($B222,DG!A:D,DG!$B$2,)</f>
        <v>0</v>
      </c>
      <c r="E222" s="366" t="str">
        <f>VLOOKUP($B222,DG!A:D,DG!$C$2,)</f>
        <v>Chân sứ đỉnh thẳng dài 870mm</v>
      </c>
      <c r="F222" s="338" t="str">
        <f>VLOOKUP($B222,DG!A:D,DG!$D$2,)</f>
        <v>cái</v>
      </c>
      <c r="G222" s="359">
        <v>2</v>
      </c>
      <c r="H222" s="360">
        <f t="shared" si="12"/>
        <v>18</v>
      </c>
      <c r="I222" s="354"/>
      <c r="J222" s="354"/>
      <c r="K222" s="354"/>
      <c r="L222" s="354"/>
      <c r="M222" s="332"/>
      <c r="N222" s="340"/>
      <c r="O222" s="341"/>
    </row>
    <row r="223" spans="1:15" ht="16.2" outlineLevel="1">
      <c r="A223" s="288"/>
      <c r="B223" s="351" t="s">
        <v>710</v>
      </c>
      <c r="C223" s="388" t="str">
        <f>IF(OR(I223&lt;&gt;0,H223&lt;&gt;0),"x"," ")</f>
        <v xml:space="preserve"> </v>
      </c>
      <c r="D223" s="338" t="str">
        <f>VLOOKUP($B223,DG!A:D,DG!$B$2,)</f>
        <v>02.1115</v>
      </c>
      <c r="E223" s="366" t="str">
        <f>VLOOKUP($B223,DG!A:D,DG!$C$2,)</f>
        <v>Bốc dỡ xà, thép thanh</v>
      </c>
      <c r="F223" s="338" t="str">
        <f>VLOOKUP($B223,DG!A:D,DG!$D$2,)</f>
        <v>tấn</v>
      </c>
      <c r="G223" s="353"/>
      <c r="H223" s="354"/>
      <c r="I223" s="354"/>
      <c r="J223" s="354"/>
      <c r="K223" s="354"/>
      <c r="L223" s="354"/>
      <c r="M223" s="332"/>
      <c r="N223" s="340"/>
      <c r="O223" s="341"/>
    </row>
    <row r="224" spans="1:15" ht="16.2" outlineLevel="1">
      <c r="A224" s="288"/>
      <c r="B224" s="356" t="s">
        <v>711</v>
      </c>
      <c r="C224" s="388" t="str">
        <f>IF(OR(I224&lt;&gt;0,H224&lt;&gt;0),"x"," ")</f>
        <v xml:space="preserve"> </v>
      </c>
      <c r="D224" s="338" t="str">
        <f>VLOOKUP($B224,DG!A:C,2,)</f>
        <v>02.1361</v>
      </c>
      <c r="E224" s="366" t="str">
        <f>VLOOKUP($B224,DG!A:C,3,)</f>
        <v>V/c xà vào vị trí (cư ly &lt;=100m)</v>
      </c>
      <c r="F224" s="338" t="str">
        <f>VLOOKUP($B224,DG!A:D,4,0)</f>
        <v>tấn</v>
      </c>
      <c r="G224" s="353"/>
      <c r="H224" s="354"/>
      <c r="I224" s="354"/>
      <c r="J224" s="354"/>
      <c r="K224" s="354"/>
      <c r="L224" s="354"/>
      <c r="M224" s="332"/>
      <c r="N224" s="340"/>
      <c r="O224" s="341"/>
    </row>
    <row r="225" spans="1:15" ht="16.2" outlineLevel="1">
      <c r="A225" s="288"/>
      <c r="B225" s="356" t="s">
        <v>447</v>
      </c>
      <c r="C225" s="388" t="str">
        <f>IF(OR(I225&lt;&gt;0,H225&lt;&gt;0),"x"," ")</f>
        <v xml:space="preserve"> </v>
      </c>
      <c r="D225" s="338" t="str">
        <f>VLOOKUP($B225,DG!A:C,2,)</f>
        <v>02.1482</v>
      </c>
      <c r="E225" s="366" t="str">
        <f>VLOOKUP($B225,DG!A:C,3,)</f>
        <v>V/c dụng cụ thi công vào vị trí (cự ly &lt;=100m)</v>
      </c>
      <c r="F225" s="338" t="str">
        <f>VLOOKUP($B225,DG!A:D,4,0)</f>
        <v>tấn</v>
      </c>
      <c r="G225" s="357"/>
      <c r="H225" s="354"/>
      <c r="I225" s="354"/>
      <c r="J225" s="354"/>
      <c r="K225" s="354"/>
      <c r="L225" s="354"/>
      <c r="M225" s="332"/>
      <c r="N225" s="340"/>
      <c r="O225" s="341"/>
    </row>
    <row r="226" spans="1:15" ht="16.2" outlineLevel="1">
      <c r="A226" s="372" t="s">
        <v>715</v>
      </c>
      <c r="B226" s="373" t="s">
        <v>715</v>
      </c>
      <c r="C226" s="388" t="str">
        <f>IF(OR(I226&lt;&gt;0,H226&lt;&gt;0),"x"," ")</f>
        <v xml:space="preserve"> </v>
      </c>
      <c r="D226" s="345"/>
      <c r="E226" s="346" t="s">
        <v>716</v>
      </c>
      <c r="F226" s="347" t="s">
        <v>285</v>
      </c>
      <c r="G226" s="348"/>
      <c r="H226" s="349">
        <f>IFERROR(HLOOKUP(B226,'BKT-ThuHoi'!$5:$183,179,0),0)</f>
        <v>0</v>
      </c>
      <c r="I226" s="349">
        <f>H226+J226-K226</f>
        <v>0</v>
      </c>
      <c r="J226" s="350"/>
      <c r="K226" s="350"/>
      <c r="L226" s="350"/>
      <c r="M226" s="340"/>
      <c r="N226" s="340"/>
      <c r="O226" s="341"/>
    </row>
    <row r="227" spans="1:15" ht="16.2" outlineLevel="1">
      <c r="B227" s="336" t="s">
        <v>704</v>
      </c>
      <c r="C227" s="388" t="str">
        <f>IF(OR(I227&lt;&gt;0,H227&lt;&gt;0),"x"," ")</f>
        <v xml:space="preserve"> </v>
      </c>
      <c r="D227" s="338"/>
      <c r="E227" s="358" t="str">
        <f>VLOOKUP($B227,DG!A:D,DG!$C$2,)</f>
        <v>Sắt góc L75 x75 x8</v>
      </c>
      <c r="F227" s="338" t="str">
        <f>VLOOKUP($B227,DG!A:D,DG!$D$2,)</f>
        <v>kg</v>
      </c>
      <c r="G227" s="357">
        <f>9.02*(2.2+4*0.07)*2</f>
        <v>44.739200000000004</v>
      </c>
      <c r="H227" s="380">
        <f t="shared" ref="H227:H232" si="13">H$226*$G227</f>
        <v>0</v>
      </c>
      <c r="I227" s="380">
        <f>$I$226*G227</f>
        <v>0</v>
      </c>
      <c r="J227" s="380">
        <f>$J$226*G227</f>
        <v>0</v>
      </c>
      <c r="K227" s="380">
        <f>$K$226*G227</f>
        <v>0</v>
      </c>
      <c r="L227" s="360"/>
      <c r="M227" s="340"/>
      <c r="N227" s="340"/>
      <c r="O227" s="341"/>
    </row>
    <row r="228" spans="1:15" ht="16.2" outlineLevel="1">
      <c r="B228" s="336" t="s">
        <v>705</v>
      </c>
      <c r="C228" s="388" t="str">
        <f>IF(OR(I228&lt;&gt;0,H228&lt;&gt;0),"x"," ")</f>
        <v xml:space="preserve"> </v>
      </c>
      <c r="D228" s="338"/>
      <c r="E228" s="358" t="str">
        <f>VLOOKUP($B228,DG!A:D,DG!$C$2,)&amp;": thanh chống 810"</f>
        <v>Sắt góc L50 x50 x5: thanh chống 810</v>
      </c>
      <c r="F228" s="338" t="str">
        <f>VLOOKUP($B228,DG!A:D,DG!$D$2,)</f>
        <v>kg</v>
      </c>
      <c r="G228" s="357">
        <f>3.77*0.81*4</f>
        <v>12.2148</v>
      </c>
      <c r="H228" s="380">
        <f t="shared" si="13"/>
        <v>0</v>
      </c>
      <c r="I228" s="380">
        <f>$I$226*G228</f>
        <v>0</v>
      </c>
      <c r="J228" s="380">
        <f>$J$226*G228</f>
        <v>0</v>
      </c>
      <c r="K228" s="380">
        <f>$K$226*G228</f>
        <v>0</v>
      </c>
      <c r="L228" s="360"/>
      <c r="M228" s="340"/>
      <c r="N228" s="340"/>
      <c r="O228" s="341"/>
    </row>
    <row r="229" spans="1:15" ht="16.2" outlineLevel="1">
      <c r="B229" s="336" t="s">
        <v>707</v>
      </c>
      <c r="C229" s="388" t="str">
        <f>IF(OR(I229&lt;&gt;0,H229&lt;&gt;0),"x"," ")</f>
        <v xml:space="preserve"> </v>
      </c>
      <c r="D229" s="338"/>
      <c r="E229" s="358" t="str">
        <f>VLOOKUP($B229,DG!A:D,DG!$C$2,)</f>
        <v>Boulon 16x250</v>
      </c>
      <c r="F229" s="338" t="str">
        <f>VLOOKUP($B229,DG!A:D,DG!$D$2,)</f>
        <v>bộ</v>
      </c>
      <c r="G229" s="359">
        <v>1</v>
      </c>
      <c r="H229" s="360">
        <f t="shared" si="13"/>
        <v>0</v>
      </c>
      <c r="I229" s="360">
        <f>$I$226*G229</f>
        <v>0</v>
      </c>
      <c r="J229" s="360">
        <f>$J$226*G229</f>
        <v>0</v>
      </c>
      <c r="K229" s="360">
        <f>$K$226*G229</f>
        <v>0</v>
      </c>
      <c r="L229" s="360"/>
      <c r="M229" s="340"/>
      <c r="N229" s="340"/>
      <c r="O229" s="341"/>
    </row>
    <row r="230" spans="1:15" ht="16.2" outlineLevel="1">
      <c r="B230" s="336" t="s">
        <v>717</v>
      </c>
      <c r="C230" s="388" t="str">
        <f>IF(OR(I230&lt;&gt;0,H230&lt;&gt;0),"x"," ")</f>
        <v xml:space="preserve"> </v>
      </c>
      <c r="D230" s="338"/>
      <c r="E230" s="358" t="str">
        <f>VLOOKUP($B230,DG!A:D,DG!$C$2,)</f>
        <v>Boulon 16x300</v>
      </c>
      <c r="F230" s="338" t="str">
        <f>VLOOKUP($B230,DG!A:D,DG!$D$2,)</f>
        <v>bộ</v>
      </c>
      <c r="G230" s="359">
        <v>1</v>
      </c>
      <c r="H230" s="360">
        <f t="shared" si="13"/>
        <v>0</v>
      </c>
      <c r="I230" s="360">
        <f>$I$226*G230</f>
        <v>0</v>
      </c>
      <c r="J230" s="360">
        <f>$J$226*G230</f>
        <v>0</v>
      </c>
      <c r="K230" s="360">
        <f>$K$226*G230</f>
        <v>0</v>
      </c>
      <c r="L230" s="360"/>
      <c r="M230" s="340"/>
      <c r="N230" s="340"/>
      <c r="O230" s="341"/>
    </row>
    <row r="231" spans="1:15" ht="16.2" outlineLevel="1">
      <c r="B231" s="336" t="s">
        <v>718</v>
      </c>
      <c r="C231" s="388" t="str">
        <f>IF(OR(I231&lt;&gt;0,H231&lt;&gt;0),"x"," ")</f>
        <v xml:space="preserve"> </v>
      </c>
      <c r="D231" s="338"/>
      <c r="E231" s="358" t="str">
        <f>VLOOKUP($B231,DG!A:D,DG!$C$2,)</f>
        <v>Boulon 16x300VRS</v>
      </c>
      <c r="F231" s="338" t="str">
        <f>VLOOKUP($B231,DG!A:D,DG!$D$2,)</f>
        <v>bộ</v>
      </c>
      <c r="G231" s="359">
        <v>2</v>
      </c>
      <c r="H231" s="360">
        <f t="shared" si="13"/>
        <v>0</v>
      </c>
      <c r="I231" s="360">
        <f>$I$226*G231</f>
        <v>0</v>
      </c>
      <c r="J231" s="360">
        <f>$J$226*G231</f>
        <v>0</v>
      </c>
      <c r="K231" s="360">
        <f>$K$226*G231</f>
        <v>0</v>
      </c>
      <c r="L231" s="360"/>
      <c r="M231" s="340"/>
      <c r="N231" s="340"/>
      <c r="O231" s="341"/>
    </row>
    <row r="232" spans="1:15" ht="16.2" outlineLevel="1">
      <c r="B232" s="336" t="s">
        <v>708</v>
      </c>
      <c r="C232" s="388" t="str">
        <f>IF(OR(I232&lt;&gt;0,H232&lt;&gt;0),"x"," ")</f>
        <v xml:space="preserve"> </v>
      </c>
      <c r="D232" s="338"/>
      <c r="E232" s="358" t="str">
        <f>VLOOKUP($B232,DG!A:D,DG!$C$2,)</f>
        <v>Boulon 16x50</v>
      </c>
      <c r="F232" s="338" t="str">
        <f>VLOOKUP($B232,DG!A:D,DG!$D$2,)</f>
        <v>bộ</v>
      </c>
      <c r="G232" s="359">
        <v>4</v>
      </c>
      <c r="H232" s="360">
        <f t="shared" si="13"/>
        <v>0</v>
      </c>
      <c r="I232" s="360">
        <f>$I$226*G232</f>
        <v>0</v>
      </c>
      <c r="J232" s="360">
        <f>$J$226*G232</f>
        <v>0</v>
      </c>
      <c r="K232" s="360">
        <f>$K$226*G232</f>
        <v>0</v>
      </c>
      <c r="L232" s="360"/>
      <c r="M232" s="340"/>
      <c r="N232" s="340"/>
      <c r="O232" s="341"/>
    </row>
    <row r="233" spans="1:15" ht="16.2" outlineLevel="1">
      <c r="B233" s="336" t="s">
        <v>719</v>
      </c>
      <c r="C233" s="388" t="str">
        <f>IF(OR(I233&lt;&gt;0,H233&lt;&gt;0),"x"," ")</f>
        <v xml:space="preserve"> </v>
      </c>
      <c r="D233" s="363" t="str">
        <f>VLOOKUP($B233,DG!A:D,DG!$B$2,)</f>
        <v>05.6203</v>
      </c>
      <c r="E233" s="366" t="str">
        <f>VLOOKUP($B233,DG!A:D,DG!$C$2,)</f>
        <v>Lắp xà néo ≤ 100kg</v>
      </c>
      <c r="F233" s="338" t="str">
        <f>VLOOKUP($B233,DG!A:D,DG!$D$2,)</f>
        <v>bộ</v>
      </c>
      <c r="G233" s="359">
        <v>1</v>
      </c>
      <c r="H233" s="360">
        <f>H$226*$G233</f>
        <v>0</v>
      </c>
      <c r="I233" s="360">
        <f>$I$226*G233</f>
        <v>0</v>
      </c>
      <c r="J233" s="360">
        <f>$J$226*G233</f>
        <v>0</v>
      </c>
      <c r="K233" s="360">
        <f>$K$226*G233</f>
        <v>0</v>
      </c>
      <c r="L233" s="354"/>
      <c r="M233" s="340"/>
      <c r="N233" s="340"/>
      <c r="O233" s="341"/>
    </row>
    <row r="234" spans="1:15" ht="16.2" outlineLevel="1">
      <c r="A234" s="288"/>
      <c r="B234" s="351" t="s">
        <v>710</v>
      </c>
      <c r="C234" s="388" t="str">
        <f>IF(OR(I234&lt;&gt;0,H234&lt;&gt;0),"x"," ")</f>
        <v xml:space="preserve"> </v>
      </c>
      <c r="D234" s="338" t="str">
        <f>VLOOKUP($B234,DG!A:D,DG!$B$2,)</f>
        <v>02.1115</v>
      </c>
      <c r="E234" s="366" t="str">
        <f>VLOOKUP($B234,DG!A:D,DG!$C$2,)</f>
        <v>Bốc dỡ xà, thép thanh</v>
      </c>
      <c r="F234" s="338" t="str">
        <f>VLOOKUP($B234,DG!A:D,DG!$D$2,)</f>
        <v>tấn</v>
      </c>
      <c r="G234" s="353">
        <f>G235</f>
        <v>0</v>
      </c>
      <c r="H234" s="354"/>
      <c r="I234" s="354"/>
      <c r="J234" s="354"/>
      <c r="K234" s="360">
        <f>$K$226*G234</f>
        <v>0</v>
      </c>
      <c r="L234" s="354"/>
      <c r="M234" s="332"/>
      <c r="N234" s="340"/>
      <c r="O234" s="341"/>
    </row>
    <row r="235" spans="1:15" ht="16.2" outlineLevel="1">
      <c r="A235" s="288"/>
      <c r="B235" s="356" t="s">
        <v>711</v>
      </c>
      <c r="C235" s="388" t="str">
        <f>IF(OR(I235&lt;&gt;0,H235&lt;&gt;0),"x"," ")</f>
        <v xml:space="preserve"> </v>
      </c>
      <c r="D235" s="338" t="str">
        <f>VLOOKUP($B235,DG!A:C,2,)</f>
        <v>02.1361</v>
      </c>
      <c r="E235" s="366" t="str">
        <f>VLOOKUP($B235,DG!A:C,3,)</f>
        <v>V/c xà vào vị trí (cư ly &lt;=100m)</v>
      </c>
      <c r="F235" s="338" t="str">
        <f>VLOOKUP($B235,DG!A:D,4,0)</f>
        <v>tấn</v>
      </c>
      <c r="G235" s="353">
        <f>ROUND(SUM(G227:G228)*1.05/1000,3)*0</f>
        <v>0</v>
      </c>
      <c r="H235" s="354"/>
      <c r="I235" s="354"/>
      <c r="J235" s="354"/>
      <c r="K235" s="360">
        <f>$K$226*G235</f>
        <v>0</v>
      </c>
      <c r="L235" s="354"/>
      <c r="M235" s="332"/>
      <c r="N235" s="340"/>
      <c r="O235" s="341"/>
    </row>
    <row r="236" spans="1:15" ht="16.2" outlineLevel="1">
      <c r="A236" s="288"/>
      <c r="B236" s="356" t="s">
        <v>447</v>
      </c>
      <c r="C236" s="388" t="str">
        <f>IF(OR(I236&lt;&gt;0,H236&lt;&gt;0),"x"," ")</f>
        <v xml:space="preserve"> </v>
      </c>
      <c r="D236" s="338" t="str">
        <f>VLOOKUP($B236,DG!A:C,2,)</f>
        <v>02.1482</v>
      </c>
      <c r="E236" s="366" t="str">
        <f>VLOOKUP($B236,DG!A:C,3,)</f>
        <v>V/c dụng cụ thi công vào vị trí (cự ly &lt;=100m)</v>
      </c>
      <c r="F236" s="338" t="str">
        <f>VLOOKUP($B236,DG!A:D,4,0)</f>
        <v>tấn</v>
      </c>
      <c r="G236" s="357">
        <f>0.05*0</f>
        <v>0</v>
      </c>
      <c r="H236" s="354"/>
      <c r="I236" s="354"/>
      <c r="J236" s="354"/>
      <c r="K236" s="360">
        <f>$K$226*G236</f>
        <v>0</v>
      </c>
      <c r="L236" s="354"/>
      <c r="M236" s="332"/>
      <c r="N236" s="340"/>
      <c r="O236" s="341"/>
    </row>
    <row r="237" spans="1:15" ht="16.2" outlineLevel="1">
      <c r="A237" s="342" t="s">
        <v>720</v>
      </c>
      <c r="B237" s="343" t="s">
        <v>720</v>
      </c>
      <c r="C237" s="388" t="str">
        <f>IF(OR(I237&lt;&gt;0,H237&lt;&gt;0),"x"," ")</f>
        <v xml:space="preserve"> </v>
      </c>
      <c r="D237" s="345"/>
      <c r="E237" s="346" t="s">
        <v>721</v>
      </c>
      <c r="F237" s="347" t="s">
        <v>285</v>
      </c>
      <c r="G237" s="348"/>
      <c r="H237" s="349">
        <f>IFERROR(HLOOKUP(B237,'BKT-ThuHoi'!$5:$183,179,0),0)</f>
        <v>0</v>
      </c>
      <c r="I237" s="350">
        <f>H237+J237-K237</f>
        <v>0</v>
      </c>
      <c r="J237" s="350"/>
      <c r="K237" s="350"/>
      <c r="L237" s="350"/>
      <c r="M237" s="332"/>
      <c r="N237" s="340"/>
      <c r="O237" s="341"/>
    </row>
    <row r="238" spans="1:15" ht="16.2" outlineLevel="1">
      <c r="A238" s="288"/>
      <c r="B238" s="351" t="s">
        <v>704</v>
      </c>
      <c r="C238" s="388" t="str">
        <f>IF(OR(I238&lt;&gt;0,H238&lt;&gt;0),"x"," ")</f>
        <v xml:space="preserve"> </v>
      </c>
      <c r="D238" s="338"/>
      <c r="E238" s="358" t="str">
        <f>VLOOKUP($B238,DG!A:D,DG!$C$2,)</f>
        <v>Sắt góc L75 x75 x8</v>
      </c>
      <c r="F238" s="338" t="str">
        <f>VLOOKUP($B238,DG!A:D,DG!$D$2,)</f>
        <v>kg</v>
      </c>
      <c r="G238" s="357">
        <f>9.02*2.2</f>
        <v>19.844000000000001</v>
      </c>
      <c r="H238" s="360">
        <f>H$237*$G238</f>
        <v>0</v>
      </c>
      <c r="I238" s="360"/>
      <c r="J238" s="360"/>
      <c r="K238" s="360"/>
      <c r="L238" s="360"/>
      <c r="M238" s="332"/>
      <c r="N238" s="340"/>
      <c r="O238" s="341"/>
    </row>
    <row r="239" spans="1:15" ht="16.2" outlineLevel="1">
      <c r="A239" s="288"/>
      <c r="B239" s="351" t="s">
        <v>705</v>
      </c>
      <c r="C239" s="388" t="str">
        <f>IF(OR(I239&lt;&gt;0,H239&lt;&gt;0),"x"," ")</f>
        <v xml:space="preserve"> </v>
      </c>
      <c r="D239" s="338"/>
      <c r="E239" s="358" t="str">
        <f>VLOOKUP($B239,DG!A:D,DG!$C$2,)</f>
        <v>Sắt góc L50 x50 x5</v>
      </c>
      <c r="F239" s="338" t="str">
        <f>VLOOKUP($B239,DG!A:D,DG!$D$2,)</f>
        <v>kg</v>
      </c>
      <c r="G239" s="357">
        <f>3.77*0.72*2</f>
        <v>5.4287999999999998</v>
      </c>
      <c r="H239" s="360">
        <f>H$237*$G239</f>
        <v>0</v>
      </c>
      <c r="I239" s="360"/>
      <c r="J239" s="360"/>
      <c r="K239" s="360"/>
      <c r="L239" s="360"/>
      <c r="M239" s="332"/>
      <c r="N239" s="340"/>
      <c r="O239" s="341"/>
    </row>
    <row r="240" spans="1:15" ht="16.2" outlineLevel="1">
      <c r="A240" s="288"/>
      <c r="B240" s="351" t="s">
        <v>707</v>
      </c>
      <c r="C240" s="388" t="str">
        <f>IF(OR(I240&lt;&gt;0,H240&lt;&gt;0),"x"," ")</f>
        <v xml:space="preserve"> </v>
      </c>
      <c r="D240" s="338"/>
      <c r="E240" s="358" t="str">
        <f>VLOOKUP($B240,DG!A:D,DG!$C$2,)</f>
        <v>Boulon 16x250</v>
      </c>
      <c r="F240" s="338" t="str">
        <f>VLOOKUP($B240,DG!A:D,DG!$D$2,)</f>
        <v>bộ</v>
      </c>
      <c r="G240" s="359">
        <v>2</v>
      </c>
      <c r="H240" s="360">
        <f>H$237*$G240</f>
        <v>0</v>
      </c>
      <c r="I240" s="360"/>
      <c r="J240" s="360"/>
      <c r="K240" s="360"/>
      <c r="L240" s="360"/>
      <c r="M240" s="332"/>
      <c r="N240" s="340"/>
      <c r="O240" s="341"/>
    </row>
    <row r="241" spans="1:15" ht="16.2" outlineLevel="1">
      <c r="A241" s="288"/>
      <c r="B241" s="351" t="s">
        <v>708</v>
      </c>
      <c r="C241" s="388" t="str">
        <f>IF(OR(I241&lt;&gt;0,H241&lt;&gt;0),"x"," ")</f>
        <v xml:space="preserve"> </v>
      </c>
      <c r="D241" s="338"/>
      <c r="E241" s="358" t="str">
        <f>VLOOKUP($B241,DG!A:D,DG!$C$2,)</f>
        <v>Boulon 16x50</v>
      </c>
      <c r="F241" s="338" t="str">
        <f>VLOOKUP($B241,DG!A:D,DG!$D$2,)</f>
        <v>bộ</v>
      </c>
      <c r="G241" s="359">
        <v>1</v>
      </c>
      <c r="H241" s="360">
        <f>H$237*$G241</f>
        <v>0</v>
      </c>
      <c r="I241" s="360"/>
      <c r="J241" s="360"/>
      <c r="K241" s="360"/>
      <c r="L241" s="360"/>
      <c r="M241" s="332"/>
      <c r="N241" s="340"/>
      <c r="O241" s="341"/>
    </row>
    <row r="242" spans="1:15" ht="16.2" outlineLevel="1">
      <c r="A242" s="288"/>
      <c r="B242" s="351" t="s">
        <v>709</v>
      </c>
      <c r="C242" s="388" t="str">
        <f>IF(OR(I242&lt;&gt;0,H242&lt;&gt;0),"x"," ")</f>
        <v xml:space="preserve"> </v>
      </c>
      <c r="D242" s="338" t="str">
        <f>VLOOKUP($B242,DG!A:D,DG!$B$2,)</f>
        <v>05.6401</v>
      </c>
      <c r="E242" s="366" t="str">
        <f>VLOOKUP($B242,DG!A:D,DG!$C$2,)</f>
        <v>Lắp xà đỡ ≤ 25kg</v>
      </c>
      <c r="F242" s="338" t="str">
        <f>VLOOKUP($B242,DG!A:D,DG!$D$2,)</f>
        <v>bộ</v>
      </c>
      <c r="G242" s="359">
        <v>1</v>
      </c>
      <c r="H242" s="354"/>
      <c r="I242" s="354"/>
      <c r="J242" s="354"/>
      <c r="K242" s="354"/>
      <c r="L242" s="354"/>
      <c r="M242" s="332"/>
      <c r="N242" s="340"/>
      <c r="O242" s="341"/>
    </row>
    <row r="243" spans="1:15" ht="16.2" outlineLevel="1">
      <c r="A243" s="288"/>
      <c r="B243" s="351" t="s">
        <v>710</v>
      </c>
      <c r="C243" s="388" t="str">
        <f>IF(OR(I243&lt;&gt;0,H243&lt;&gt;0),"x"," ")</f>
        <v xml:space="preserve"> </v>
      </c>
      <c r="D243" s="338" t="str">
        <f>VLOOKUP($B243,DG!A:D,DG!$B$2,)</f>
        <v>02.1115</v>
      </c>
      <c r="E243" s="366" t="str">
        <f>VLOOKUP($B243,DG!A:D,DG!$C$2,)</f>
        <v>Bốc dỡ xà, thép thanh</v>
      </c>
      <c r="F243" s="338" t="str">
        <f>VLOOKUP($B243,DG!A:D,DG!$D$2,)</f>
        <v>tấn</v>
      </c>
      <c r="G243" s="353"/>
      <c r="H243" s="354"/>
      <c r="I243" s="354"/>
      <c r="J243" s="354"/>
      <c r="K243" s="354"/>
      <c r="L243" s="354"/>
      <c r="M243" s="332"/>
      <c r="N243" s="340"/>
      <c r="O243" s="341"/>
    </row>
    <row r="244" spans="1:15" ht="16.2" outlineLevel="1">
      <c r="A244" s="288"/>
      <c r="B244" s="356" t="s">
        <v>711</v>
      </c>
      <c r="C244" s="388" t="str">
        <f>IF(OR(I244&lt;&gt;0,H244&lt;&gt;0),"x"," ")</f>
        <v xml:space="preserve"> </v>
      </c>
      <c r="D244" s="338" t="str">
        <f>VLOOKUP($B244,DG!A:C,2,)</f>
        <v>02.1361</v>
      </c>
      <c r="E244" s="366" t="str">
        <f>VLOOKUP($B244,DG!A:C,3,)</f>
        <v>V/c xà vào vị trí (cư ly &lt;=100m)</v>
      </c>
      <c r="F244" s="338" t="str">
        <f>VLOOKUP($B244,DG!A:D,4,0)</f>
        <v>tấn</v>
      </c>
      <c r="G244" s="353"/>
      <c r="H244" s="354"/>
      <c r="I244" s="354"/>
      <c r="J244" s="354"/>
      <c r="K244" s="354"/>
      <c r="L244" s="354"/>
      <c r="M244" s="332"/>
      <c r="N244" s="340"/>
      <c r="O244" s="341"/>
    </row>
    <row r="245" spans="1:15" ht="16.2" outlineLevel="1">
      <c r="A245" s="288"/>
      <c r="B245" s="356" t="s">
        <v>447</v>
      </c>
      <c r="C245" s="388" t="str">
        <f>IF(OR(I245&lt;&gt;0,H245&lt;&gt;0),"x"," ")</f>
        <v xml:space="preserve"> </v>
      </c>
      <c r="D245" s="338" t="str">
        <f>VLOOKUP($B245,DG!A:C,2,)</f>
        <v>02.1482</v>
      </c>
      <c r="E245" s="366" t="str">
        <f>VLOOKUP($B245,DG!A:C,3,)</f>
        <v>V/c dụng cụ thi công vào vị trí (cự ly &lt;=100m)</v>
      </c>
      <c r="F245" s="338" t="str">
        <f>VLOOKUP($B245,DG!A:D,4,0)</f>
        <v>tấn</v>
      </c>
      <c r="G245" s="357"/>
      <c r="H245" s="354"/>
      <c r="I245" s="354"/>
      <c r="J245" s="354"/>
      <c r="K245" s="354"/>
      <c r="L245" s="354"/>
      <c r="M245" s="332"/>
      <c r="N245" s="340"/>
      <c r="O245" s="341"/>
    </row>
    <row r="246" spans="1:15" ht="16.2" outlineLevel="1">
      <c r="A246" s="342" t="s">
        <v>722</v>
      </c>
      <c r="B246" s="343" t="s">
        <v>722</v>
      </c>
      <c r="C246" s="388" t="str">
        <f>IF(OR(I246&lt;&gt;0,H246&lt;&gt;0),"x"," ")</f>
        <v xml:space="preserve"> </v>
      </c>
      <c r="D246" s="345"/>
      <c r="E246" s="346" t="s">
        <v>723</v>
      </c>
      <c r="F246" s="347" t="s">
        <v>285</v>
      </c>
      <c r="G246" s="348"/>
      <c r="H246" s="349">
        <f>IFERROR(HLOOKUP(B246,'BKT-ThuHoi'!$5:$183,179,0),0)</f>
        <v>0</v>
      </c>
      <c r="I246" s="350">
        <f>H246+J246-K246</f>
        <v>0</v>
      </c>
      <c r="J246" s="350"/>
      <c r="K246" s="350"/>
      <c r="L246" s="350"/>
      <c r="M246" s="332"/>
      <c r="N246" s="340"/>
      <c r="O246" s="341"/>
    </row>
    <row r="247" spans="1:15" ht="16.2" outlineLevel="1">
      <c r="A247" s="288"/>
      <c r="B247" s="351" t="s">
        <v>704</v>
      </c>
      <c r="C247" s="388" t="str">
        <f>IF(OR(I247&lt;&gt;0,H247&lt;&gt;0),"x"," ")</f>
        <v xml:space="preserve"> </v>
      </c>
      <c r="D247" s="338"/>
      <c r="E247" s="358" t="str">
        <f>VLOOKUP($B247,DG!A:D,DG!$C$2,)</f>
        <v>Sắt góc L75 x75 x8</v>
      </c>
      <c r="F247" s="338" t="str">
        <f>VLOOKUP($B247,DG!A:D,DG!$D$2,)</f>
        <v>kg</v>
      </c>
      <c r="G247" s="357">
        <f>9.02*2.2*2</f>
        <v>39.688000000000002</v>
      </c>
      <c r="H247" s="360">
        <f t="shared" ref="H247:H252" si="14">H$246*$G247</f>
        <v>0</v>
      </c>
      <c r="I247" s="360"/>
      <c r="J247" s="360"/>
      <c r="K247" s="360"/>
      <c r="L247" s="360"/>
      <c r="M247" s="332"/>
      <c r="N247" s="340"/>
      <c r="O247" s="341"/>
    </row>
    <row r="248" spans="1:15" ht="16.2" outlineLevel="1">
      <c r="A248" s="288"/>
      <c r="B248" s="351" t="s">
        <v>705</v>
      </c>
      <c r="C248" s="388" t="str">
        <f>IF(OR(I248&lt;&gt;0,H248&lt;&gt;0),"x"," ")</f>
        <v xml:space="preserve"> </v>
      </c>
      <c r="D248" s="338"/>
      <c r="E248" s="358" t="str">
        <f>VLOOKUP($B248,DG!A:D,DG!$C$2,)</f>
        <v>Sắt góc L50 x50 x5</v>
      </c>
      <c r="F248" s="338" t="str">
        <f>VLOOKUP($B248,DG!A:D,DG!$D$2,)</f>
        <v>kg</v>
      </c>
      <c r="G248" s="357">
        <f>3.77*0.72*4</f>
        <v>10.8576</v>
      </c>
      <c r="H248" s="360">
        <f t="shared" si="14"/>
        <v>0</v>
      </c>
      <c r="I248" s="360"/>
      <c r="J248" s="360"/>
      <c r="K248" s="360"/>
      <c r="L248" s="360"/>
      <c r="M248" s="332"/>
      <c r="N248" s="340"/>
      <c r="O248" s="341"/>
    </row>
    <row r="249" spans="1:15" ht="16.2" outlineLevel="1">
      <c r="A249" s="288"/>
      <c r="B249" s="351" t="s">
        <v>708</v>
      </c>
      <c r="C249" s="388" t="str">
        <f>IF(OR(I249&lt;&gt;0,H249&lt;&gt;0),"x"," ")</f>
        <v xml:space="preserve"> </v>
      </c>
      <c r="D249" s="338"/>
      <c r="E249" s="358" t="str">
        <f>VLOOKUP($B249,DG!A:D,DG!$C$2,)</f>
        <v>Boulon 16x50</v>
      </c>
      <c r="F249" s="338" t="str">
        <f>VLOOKUP($B249,DG!A:D,DG!$D$2,)</f>
        <v>bộ</v>
      </c>
      <c r="G249" s="359">
        <v>4</v>
      </c>
      <c r="H249" s="360">
        <f t="shared" si="14"/>
        <v>0</v>
      </c>
      <c r="I249" s="360"/>
      <c r="J249" s="360"/>
      <c r="K249" s="360"/>
      <c r="L249" s="360"/>
      <c r="M249" s="332"/>
      <c r="N249" s="340"/>
      <c r="O249" s="341"/>
    </row>
    <row r="250" spans="1:15" ht="16.2" outlineLevel="1">
      <c r="A250" s="288"/>
      <c r="B250" s="351" t="s">
        <v>707</v>
      </c>
      <c r="C250" s="388" t="str">
        <f>IF(OR(I250&lt;&gt;0,H250&lt;&gt;0),"x"," ")</f>
        <v xml:space="preserve"> </v>
      </c>
      <c r="D250" s="338"/>
      <c r="E250" s="358" t="str">
        <f>VLOOKUP($B250,DG!A:D,DG!$C$2,)</f>
        <v>Boulon 16x250</v>
      </c>
      <c r="F250" s="338" t="str">
        <f>VLOOKUP($B250,DG!A:D,DG!$D$2,)</f>
        <v>bộ</v>
      </c>
      <c r="G250" s="359">
        <v>1</v>
      </c>
      <c r="H250" s="360">
        <f t="shared" si="14"/>
        <v>0</v>
      </c>
      <c r="I250" s="360"/>
      <c r="J250" s="360"/>
      <c r="K250" s="360"/>
      <c r="L250" s="360"/>
      <c r="M250" s="332"/>
      <c r="N250" s="340"/>
      <c r="O250" s="341"/>
    </row>
    <row r="251" spans="1:15" ht="16.2" outlineLevel="1">
      <c r="A251" s="288"/>
      <c r="B251" s="351" t="s">
        <v>717</v>
      </c>
      <c r="C251" s="388" t="str">
        <f>IF(OR(I251&lt;&gt;0,H251&lt;&gt;0),"x"," ")</f>
        <v xml:space="preserve"> </v>
      </c>
      <c r="D251" s="338"/>
      <c r="E251" s="358" t="str">
        <f>VLOOKUP($B251,DG!A:D,DG!$C$2,)</f>
        <v>Boulon 16x300</v>
      </c>
      <c r="F251" s="338" t="str">
        <f>VLOOKUP($B251,DG!A:D,DG!$D$2,)</f>
        <v>bộ</v>
      </c>
      <c r="G251" s="359">
        <v>1</v>
      </c>
      <c r="H251" s="360">
        <f t="shared" si="14"/>
        <v>0</v>
      </c>
      <c r="I251" s="360"/>
      <c r="J251" s="360"/>
      <c r="K251" s="360"/>
      <c r="L251" s="360"/>
      <c r="M251" s="332"/>
      <c r="N251" s="340"/>
      <c r="O251" s="341"/>
    </row>
    <row r="252" spans="1:15" ht="16.2" outlineLevel="1">
      <c r="A252" s="288"/>
      <c r="B252" s="351" t="s">
        <v>718</v>
      </c>
      <c r="C252" s="388" t="str">
        <f>IF(OR(I252&lt;&gt;0,H252&lt;&gt;0),"x"," ")</f>
        <v xml:space="preserve"> </v>
      </c>
      <c r="D252" s="338"/>
      <c r="E252" s="358" t="str">
        <f>VLOOKUP($B252,DG!A:D,DG!$C$2,)</f>
        <v>Boulon 16x300VRS</v>
      </c>
      <c r="F252" s="338" t="str">
        <f>VLOOKUP($B252,DG!A:D,DG!$D$2,)</f>
        <v>bộ</v>
      </c>
      <c r="G252" s="359">
        <v>2</v>
      </c>
      <c r="H252" s="360">
        <f t="shared" si="14"/>
        <v>0</v>
      </c>
      <c r="I252" s="360"/>
      <c r="J252" s="360"/>
      <c r="K252" s="360"/>
      <c r="L252" s="360"/>
      <c r="M252" s="332"/>
      <c r="N252" s="340"/>
      <c r="O252" s="341"/>
    </row>
    <row r="253" spans="1:15" ht="16.2" outlineLevel="1">
      <c r="A253" s="288"/>
      <c r="B253" s="351" t="s">
        <v>724</v>
      </c>
      <c r="C253" s="388" t="str">
        <f>IF(OR(I253&lt;&gt;0,H253&lt;&gt;0),"x"," ")</f>
        <v xml:space="preserve"> </v>
      </c>
      <c r="D253" s="338" t="str">
        <f>VLOOKUP($B253,DG!A:D,DG!$B$2,)</f>
        <v>05.6202</v>
      </c>
      <c r="E253" s="366" t="str">
        <f>VLOOKUP($B253,DG!A:D,DG!$C$2,)</f>
        <v>Lắp xà néo ≤ 50kg</v>
      </c>
      <c r="F253" s="338" t="str">
        <f>VLOOKUP($B253,DG!A:D,DG!$D$2,)</f>
        <v>bộ</v>
      </c>
      <c r="G253" s="359">
        <v>1</v>
      </c>
      <c r="H253" s="354"/>
      <c r="I253" s="354"/>
      <c r="J253" s="354"/>
      <c r="K253" s="354"/>
      <c r="L253" s="354"/>
      <c r="M253" s="332"/>
      <c r="N253" s="340"/>
      <c r="O253" s="341"/>
    </row>
    <row r="254" spans="1:15" ht="16.2" outlineLevel="1">
      <c r="A254" s="288"/>
      <c r="B254" s="351" t="s">
        <v>710</v>
      </c>
      <c r="C254" s="388" t="str">
        <f>IF(OR(I254&lt;&gt;0,H254&lt;&gt;0),"x"," ")</f>
        <v xml:space="preserve"> </v>
      </c>
      <c r="D254" s="338" t="str">
        <f>VLOOKUP($B254,DG!A:D,DG!$B$2,)</f>
        <v>02.1115</v>
      </c>
      <c r="E254" s="366" t="str">
        <f>VLOOKUP($B254,DG!A:D,DG!$C$2,)</f>
        <v>Bốc dỡ xà, thép thanh</v>
      </c>
      <c r="F254" s="338" t="str">
        <f>VLOOKUP($B254,DG!A:D,DG!$D$2,)</f>
        <v>tấn</v>
      </c>
      <c r="G254" s="353"/>
      <c r="H254" s="354"/>
      <c r="I254" s="354"/>
      <c r="J254" s="354"/>
      <c r="K254" s="354"/>
      <c r="L254" s="354"/>
      <c r="M254" s="332"/>
      <c r="N254" s="340"/>
      <c r="O254" s="341"/>
    </row>
    <row r="255" spans="1:15" ht="16.2" outlineLevel="1">
      <c r="A255" s="288"/>
      <c r="B255" s="356" t="s">
        <v>711</v>
      </c>
      <c r="C255" s="388" t="str">
        <f>IF(OR(I255&lt;&gt;0,H255&lt;&gt;0),"x"," ")</f>
        <v xml:space="preserve"> </v>
      </c>
      <c r="D255" s="338" t="str">
        <f>VLOOKUP($B255,DG!A:C,2,)</f>
        <v>02.1361</v>
      </c>
      <c r="E255" s="366" t="str">
        <f>VLOOKUP($B255,DG!A:C,3,)</f>
        <v>V/c xà vào vị trí (cư ly &lt;=100m)</v>
      </c>
      <c r="F255" s="338" t="str">
        <f>VLOOKUP($B255,DG!A:D,4,0)</f>
        <v>tấn</v>
      </c>
      <c r="G255" s="353"/>
      <c r="H255" s="354"/>
      <c r="I255" s="354"/>
      <c r="J255" s="354"/>
      <c r="K255" s="354"/>
      <c r="L255" s="354"/>
      <c r="M255" s="332"/>
      <c r="N255" s="340"/>
      <c r="O255" s="341"/>
    </row>
    <row r="256" spans="1:15" ht="16.2" outlineLevel="1">
      <c r="A256" s="288"/>
      <c r="B256" s="356" t="s">
        <v>447</v>
      </c>
      <c r="C256" s="388" t="str">
        <f>IF(OR(I256&lt;&gt;0,H256&lt;&gt;0),"x"," ")</f>
        <v xml:space="preserve"> </v>
      </c>
      <c r="D256" s="338" t="str">
        <f>VLOOKUP($B256,DG!A:C,2,)</f>
        <v>02.1482</v>
      </c>
      <c r="E256" s="366" t="str">
        <f>VLOOKUP($B256,DG!A:C,3,)</f>
        <v>V/c dụng cụ thi công vào vị trí (cự ly &lt;=100m)</v>
      </c>
      <c r="F256" s="338" t="str">
        <f>VLOOKUP($B256,DG!A:D,4,0)</f>
        <v>tấn</v>
      </c>
      <c r="G256" s="357"/>
      <c r="H256" s="354"/>
      <c r="I256" s="354"/>
      <c r="J256" s="354"/>
      <c r="K256" s="354"/>
      <c r="L256" s="354"/>
      <c r="M256" s="332"/>
      <c r="N256" s="340"/>
      <c r="O256" s="341"/>
    </row>
    <row r="257" spans="1:15" ht="16.2" outlineLevel="1">
      <c r="A257" s="372" t="s">
        <v>725</v>
      </c>
      <c r="B257" s="373" t="s">
        <v>725</v>
      </c>
      <c r="C257" s="388" t="str">
        <f>IF(OR(I257&lt;&gt;0,H257&lt;&gt;0),"x"," ")</f>
        <v xml:space="preserve"> </v>
      </c>
      <c r="D257" s="345"/>
      <c r="E257" s="346" t="s">
        <v>726</v>
      </c>
      <c r="F257" s="347" t="s">
        <v>285</v>
      </c>
      <c r="G257" s="348"/>
      <c r="H257" s="349">
        <f>IFERROR(HLOOKUP(B257,'BKT-ThuHoi'!$5:$183,179,0),0)</f>
        <v>0</v>
      </c>
      <c r="I257" s="349">
        <f>H257+J257-K257</f>
        <v>0</v>
      </c>
      <c r="J257" s="350"/>
      <c r="K257" s="350"/>
      <c r="L257" s="350"/>
      <c r="M257" s="340"/>
      <c r="N257" s="340"/>
      <c r="O257" s="341"/>
    </row>
    <row r="258" spans="1:15" ht="16.2" outlineLevel="1">
      <c r="B258" s="351" t="s">
        <v>704</v>
      </c>
      <c r="C258" s="388" t="str">
        <f>IF(OR(I258&lt;&gt;0,H258&lt;&gt;0),"x"," ")</f>
        <v xml:space="preserve"> </v>
      </c>
      <c r="D258" s="338"/>
      <c r="E258" s="358" t="str">
        <f>VLOOKUP($B258,DG!A:D,DG!$C$2,)</f>
        <v>Sắt góc L75 x75 x8</v>
      </c>
      <c r="F258" s="338" t="str">
        <f>VLOOKUP($B258,DG!A:D,DG!$D$2,)</f>
        <v>kg</v>
      </c>
      <c r="G258" s="357">
        <f>9.02*(2.2+4*0.07)</f>
        <v>22.369600000000002</v>
      </c>
      <c r="H258" s="379">
        <f>H$257*$G258</f>
        <v>0</v>
      </c>
      <c r="I258" s="379">
        <f>$I$257*G258</f>
        <v>0</v>
      </c>
      <c r="J258" s="379">
        <f>$J$257*G258</f>
        <v>0</v>
      </c>
      <c r="K258" s="360"/>
      <c r="L258" s="360"/>
      <c r="M258" s="340"/>
      <c r="N258" s="340"/>
      <c r="O258" s="341"/>
    </row>
    <row r="259" spans="1:15" ht="16.2" outlineLevel="1">
      <c r="B259" s="351" t="s">
        <v>705</v>
      </c>
      <c r="C259" s="388" t="str">
        <f>IF(OR(I259&lt;&gt;0,H259&lt;&gt;0),"x"," ")</f>
        <v xml:space="preserve"> </v>
      </c>
      <c r="D259" s="338"/>
      <c r="E259" s="358" t="str">
        <f>VLOOKUP($B259,DG!A:D,DG!$C$2,)&amp;": thanh chống 810"</f>
        <v>Sắt góc L50 x50 x5: thanh chống 810</v>
      </c>
      <c r="F259" s="338" t="str">
        <f>VLOOKUP($B259,DG!A:D,DG!$D$2,)</f>
        <v>kg</v>
      </c>
      <c r="G259" s="357">
        <f>3.77*0.81*2</f>
        <v>6.1074000000000002</v>
      </c>
      <c r="H259" s="360">
        <f>H$257*$G259</f>
        <v>0</v>
      </c>
      <c r="I259" s="360">
        <f>$I$257*G259</f>
        <v>0</v>
      </c>
      <c r="J259" s="360">
        <f>$J$257*G259</f>
        <v>0</v>
      </c>
      <c r="K259" s="360"/>
      <c r="L259" s="360"/>
      <c r="M259" s="340"/>
      <c r="N259" s="340"/>
      <c r="O259" s="341"/>
    </row>
    <row r="260" spans="1:15" ht="16.2" outlineLevel="1">
      <c r="A260" s="288"/>
      <c r="B260" s="351" t="s">
        <v>727</v>
      </c>
      <c r="C260" s="388" t="str">
        <f>IF(OR(I260&lt;&gt;0,H260&lt;&gt;0),"x"," ")</f>
        <v xml:space="preserve"> </v>
      </c>
      <c r="D260" s="338"/>
      <c r="E260" s="358" t="str">
        <f>VLOOKUP($B260,DG!A:D,DG!$C$2,)&amp;": thanh chống 810"</f>
        <v>Cổ dê bắt xà + bulon: thanh chống 810</v>
      </c>
      <c r="F260" s="338" t="str">
        <f>VLOOKUP($B260,DG!A:D,DG!$D$2,)</f>
        <v>bộ</v>
      </c>
      <c r="G260" s="357"/>
      <c r="H260" s="360"/>
      <c r="I260" s="360"/>
      <c r="J260" s="360"/>
      <c r="K260" s="360"/>
      <c r="L260" s="360"/>
      <c r="M260" s="332"/>
      <c r="N260" s="340"/>
      <c r="O260" s="341"/>
    </row>
    <row r="261" spans="1:15" ht="16.2" outlineLevel="1">
      <c r="A261" s="288"/>
      <c r="B261" s="351" t="s">
        <v>728</v>
      </c>
      <c r="C261" s="388" t="str">
        <f>IF(OR(I261&lt;&gt;0,H261&lt;&gt;0),"x"," ")</f>
        <v xml:space="preserve"> </v>
      </c>
      <c r="D261" s="338"/>
      <c r="E261" s="358" t="str">
        <f>VLOOKUP($B261,DG!A:D,DG!$C$2,)&amp;": thanh chống 810"</f>
        <v>Cổ dê chống lắc 8x80x800 : thanh chống 810</v>
      </c>
      <c r="F261" s="338" t="str">
        <f>VLOOKUP($B261,DG!A:D,DG!$D$2,)</f>
        <v>bộ</v>
      </c>
      <c r="G261" s="357"/>
      <c r="H261" s="360"/>
      <c r="I261" s="360"/>
      <c r="J261" s="360"/>
      <c r="K261" s="360"/>
      <c r="L261" s="360"/>
      <c r="M261" s="332"/>
      <c r="N261" s="340"/>
      <c r="O261" s="341"/>
    </row>
    <row r="262" spans="1:15" ht="16.2" outlineLevel="1">
      <c r="B262" s="351" t="s">
        <v>707</v>
      </c>
      <c r="C262" s="388" t="str">
        <f>IF(OR(I262&lt;&gt;0,H262&lt;&gt;0),"x"," ")</f>
        <v xml:space="preserve"> </v>
      </c>
      <c r="D262" s="338"/>
      <c r="E262" s="358" t="str">
        <f>VLOOKUP($B262,DG!A:D,DG!$C$2,)</f>
        <v>Boulon 16x250</v>
      </c>
      <c r="F262" s="338" t="str">
        <f>VLOOKUP($B262,DG!A:D,DG!$D$2,)</f>
        <v>bộ</v>
      </c>
      <c r="G262" s="359">
        <v>2</v>
      </c>
      <c r="H262" s="360">
        <f>H$257*$G262</f>
        <v>0</v>
      </c>
      <c r="I262" s="360">
        <f>$I$257*G262</f>
        <v>0</v>
      </c>
      <c r="J262" s="360">
        <f>$J$257*G262</f>
        <v>0</v>
      </c>
      <c r="K262" s="360"/>
      <c r="L262" s="360"/>
      <c r="M262" s="340"/>
      <c r="N262" s="340"/>
      <c r="O262" s="341"/>
    </row>
    <row r="263" spans="1:15" ht="16.2" outlineLevel="1">
      <c r="B263" s="351" t="s">
        <v>708</v>
      </c>
      <c r="C263" s="388" t="str">
        <f>IF(OR(I263&lt;&gt;0,H263&lt;&gt;0),"x"," ")</f>
        <v xml:space="preserve"> </v>
      </c>
      <c r="D263" s="338"/>
      <c r="E263" s="358" t="str">
        <f>VLOOKUP($B263,DG!A:D,DG!$C$2,)</f>
        <v>Boulon 16x50</v>
      </c>
      <c r="F263" s="338" t="str">
        <f>VLOOKUP($B263,DG!A:D,DG!$D$2,)</f>
        <v>bộ</v>
      </c>
      <c r="G263" s="359">
        <v>2</v>
      </c>
      <c r="H263" s="360">
        <f>H$257*$G263</f>
        <v>0</v>
      </c>
      <c r="I263" s="360">
        <f>$I$257*G263</f>
        <v>0</v>
      </c>
      <c r="J263" s="360">
        <f>$J$257*G263</f>
        <v>0</v>
      </c>
      <c r="K263" s="360"/>
      <c r="L263" s="360"/>
      <c r="M263" s="340"/>
      <c r="N263" s="340"/>
      <c r="O263" s="341"/>
    </row>
    <row r="264" spans="1:15" ht="16.2" outlineLevel="1">
      <c r="B264" s="351" t="s">
        <v>729</v>
      </c>
      <c r="C264" s="388" t="str">
        <f>IF(OR(I264&lt;&gt;0,H264&lt;&gt;0),"x"," ")</f>
        <v xml:space="preserve"> </v>
      </c>
      <c r="D264" s="396" t="str">
        <f>VLOOKUP($B264,DG!A:D,DG!$B$2,)</f>
        <v>05.6102</v>
      </c>
      <c r="E264" s="366" t="str">
        <f>VLOOKUP($B264,DG!A:D,DG!$C$2,)</f>
        <v>Lắp xà đỡ ≤ 50kg</v>
      </c>
      <c r="F264" s="338" t="str">
        <f>VLOOKUP($B264,DG!A:D,DG!$D$2,)</f>
        <v>bộ</v>
      </c>
      <c r="G264" s="359">
        <v>1</v>
      </c>
      <c r="H264" s="360">
        <f>H$257*$G264</f>
        <v>0</v>
      </c>
      <c r="I264" s="360">
        <f>$I$257*G264</f>
        <v>0</v>
      </c>
      <c r="J264" s="360">
        <f>$J$257*G264</f>
        <v>0</v>
      </c>
      <c r="K264" s="354"/>
      <c r="L264" s="354"/>
      <c r="M264" s="340"/>
      <c r="N264" s="340"/>
      <c r="O264" s="341"/>
    </row>
    <row r="265" spans="1:15" ht="16.2" outlineLevel="1">
      <c r="A265" s="288"/>
      <c r="B265" s="351" t="s">
        <v>710</v>
      </c>
      <c r="C265" s="388" t="str">
        <f>IF(OR(I265&lt;&gt;0,H265&lt;&gt;0),"x"," ")</f>
        <v xml:space="preserve"> </v>
      </c>
      <c r="D265" s="338" t="str">
        <f>VLOOKUP($B265,DG!A:D,DG!$B$2,)</f>
        <v>02.1115</v>
      </c>
      <c r="E265" s="366" t="str">
        <f>VLOOKUP($B265,DG!A:D,DG!$C$2,)</f>
        <v>Bốc dỡ xà, thép thanh</v>
      </c>
      <c r="F265" s="338" t="str">
        <f>VLOOKUP($B265,DG!A:D,DG!$D$2,)</f>
        <v>tấn</v>
      </c>
      <c r="G265" s="353">
        <f>G266</f>
        <v>0</v>
      </c>
      <c r="H265" s="354"/>
      <c r="I265" s="354"/>
      <c r="J265" s="354"/>
      <c r="K265" s="354"/>
      <c r="L265" s="354"/>
      <c r="M265" s="332"/>
      <c r="N265" s="340"/>
      <c r="O265" s="341"/>
    </row>
    <row r="266" spans="1:15" ht="16.2" outlineLevel="1">
      <c r="A266" s="288"/>
      <c r="B266" s="356" t="s">
        <v>711</v>
      </c>
      <c r="C266" s="388" t="str">
        <f>IF(OR(I266&lt;&gt;0,H266&lt;&gt;0),"x"," ")</f>
        <v xml:space="preserve"> </v>
      </c>
      <c r="D266" s="338" t="str">
        <f>VLOOKUP($B266,DG!A:C,2,)</f>
        <v>02.1361</v>
      </c>
      <c r="E266" s="366" t="str">
        <f>VLOOKUP($B266,DG!A:C,3,)</f>
        <v>V/c xà vào vị trí (cư ly &lt;=100m)</v>
      </c>
      <c r="F266" s="338" t="str">
        <f>VLOOKUP($B266,DG!A:D,4,0)</f>
        <v>tấn</v>
      </c>
      <c r="G266" s="353">
        <f>ROUND(SUM(G258:G259)*1.05/1000,3)*0</f>
        <v>0</v>
      </c>
      <c r="H266" s="354"/>
      <c r="I266" s="354"/>
      <c r="J266" s="354"/>
      <c r="K266" s="354"/>
      <c r="L266" s="354"/>
      <c r="M266" s="332"/>
      <c r="N266" s="340"/>
      <c r="O266" s="341"/>
    </row>
    <row r="267" spans="1:15" ht="16.2" outlineLevel="1">
      <c r="A267" s="288"/>
      <c r="B267" s="356" t="s">
        <v>447</v>
      </c>
      <c r="C267" s="388" t="str">
        <f>IF(OR(I267&lt;&gt;0,H267&lt;&gt;0),"x"," ")</f>
        <v xml:space="preserve"> </v>
      </c>
      <c r="D267" s="338" t="str">
        <f>VLOOKUP($B267,DG!A:C,2,)</f>
        <v>02.1482</v>
      </c>
      <c r="E267" s="366" t="str">
        <f>VLOOKUP($B267,DG!A:C,3,)</f>
        <v>V/c dụng cụ thi công vào vị trí (cự ly &lt;=100m)</v>
      </c>
      <c r="F267" s="338" t="str">
        <f>VLOOKUP($B267,DG!A:D,4,0)</f>
        <v>tấn</v>
      </c>
      <c r="G267" s="357">
        <f>0.05*0</f>
        <v>0</v>
      </c>
      <c r="H267" s="354"/>
      <c r="I267" s="354"/>
      <c r="J267" s="354"/>
      <c r="K267" s="354"/>
      <c r="L267" s="354"/>
      <c r="M267" s="332"/>
      <c r="N267" s="340"/>
      <c r="O267" s="341"/>
    </row>
    <row r="268" spans="1:15" ht="16.2" outlineLevel="1">
      <c r="A268" s="342" t="s">
        <v>730</v>
      </c>
      <c r="B268" s="343" t="s">
        <v>730</v>
      </c>
      <c r="C268" s="388" t="str">
        <f>IF(OR(I268&lt;&gt;0,H268&lt;&gt;0),"x"," ")</f>
        <v xml:space="preserve"> </v>
      </c>
      <c r="D268" s="345"/>
      <c r="E268" s="346" t="s">
        <v>731</v>
      </c>
      <c r="F268" s="347" t="s">
        <v>285</v>
      </c>
      <c r="G268" s="348"/>
      <c r="H268" s="349">
        <f>IFERROR(HLOOKUP(B268,'BKT-ThuHoi'!$5:$183,179,0),0)</f>
        <v>0</v>
      </c>
      <c r="I268" s="350">
        <f>H268+J268-K268</f>
        <v>0</v>
      </c>
      <c r="J268" s="350"/>
      <c r="K268" s="350"/>
      <c r="L268" s="350"/>
      <c r="M268" s="332"/>
      <c r="N268" s="340"/>
      <c r="O268" s="341"/>
    </row>
    <row r="269" spans="1:15" ht="16.2" outlineLevel="1">
      <c r="A269" s="288"/>
      <c r="B269" s="351" t="s">
        <v>704</v>
      </c>
      <c r="C269" s="388" t="str">
        <f>IF(OR(I269&lt;&gt;0,H269&lt;&gt;0),"x"," ")</f>
        <v xml:space="preserve"> </v>
      </c>
      <c r="D269" s="338"/>
      <c r="E269" s="358" t="str">
        <f>VLOOKUP($B269,DG!A:D,DG!$C$2,)</f>
        <v>Sắt góc L75 x75 x8</v>
      </c>
      <c r="F269" s="338" t="str">
        <f>VLOOKUP($B269,DG!A:D,DG!$D$2,)</f>
        <v>kg</v>
      </c>
      <c r="G269" s="357">
        <f>9.02*(2.2+4*0.07)</f>
        <v>22.369600000000002</v>
      </c>
      <c r="H269" s="360">
        <f>$H$268*$G269</f>
        <v>0</v>
      </c>
      <c r="I269" s="360"/>
      <c r="J269" s="360"/>
      <c r="K269" s="360"/>
      <c r="L269" s="360"/>
      <c r="M269" s="332"/>
      <c r="N269" s="340"/>
      <c r="O269" s="341"/>
    </row>
    <row r="270" spans="1:15" ht="16.2" outlineLevel="1">
      <c r="A270" s="288"/>
      <c r="B270" s="351" t="s">
        <v>705</v>
      </c>
      <c r="C270" s="388" t="str">
        <f>IF(OR(I270&lt;&gt;0,H270&lt;&gt;0),"x"," ")</f>
        <v xml:space="preserve"> </v>
      </c>
      <c r="D270" s="338"/>
      <c r="E270" s="358" t="str">
        <f>VLOOKUP($B270,DG!A:D,DG!$C$2,)&amp;" thanh chống 920"</f>
        <v>Sắt góc L50 x50 x5 thanh chống 920</v>
      </c>
      <c r="F270" s="338" t="str">
        <f>VLOOKUP($B270,DG!A:D,DG!$D$2,)</f>
        <v>kg</v>
      </c>
      <c r="G270" s="357">
        <f>3.77*0.92*2</f>
        <v>6.9368000000000007</v>
      </c>
      <c r="H270" s="360">
        <f t="shared" ref="H270:H276" si="15">$H$268*$G270</f>
        <v>0</v>
      </c>
      <c r="I270" s="360"/>
      <c r="J270" s="360"/>
      <c r="K270" s="360"/>
      <c r="L270" s="360"/>
      <c r="M270" s="332"/>
      <c r="N270" s="340"/>
      <c r="O270" s="341"/>
    </row>
    <row r="271" spans="1:15" ht="16.2" outlineLevel="1">
      <c r="A271" s="288"/>
      <c r="B271" s="351" t="s">
        <v>707</v>
      </c>
      <c r="C271" s="388" t="str">
        <f>IF(OR(I271&lt;&gt;0,H271&lt;&gt;0),"x"," ")</f>
        <v xml:space="preserve"> </v>
      </c>
      <c r="D271" s="338"/>
      <c r="E271" s="358" t="str">
        <f>VLOOKUP($B271,DG!A:D,DG!$C$2,)</f>
        <v>Boulon 16x250</v>
      </c>
      <c r="F271" s="338" t="str">
        <f>VLOOKUP($B271,DG!A:D,DG!$D$2,)</f>
        <v>bộ</v>
      </c>
      <c r="G271" s="359">
        <v>2</v>
      </c>
      <c r="H271" s="360">
        <f t="shared" si="15"/>
        <v>0</v>
      </c>
      <c r="I271" s="360"/>
      <c r="J271" s="360"/>
      <c r="K271" s="360"/>
      <c r="L271" s="360"/>
      <c r="M271" s="332"/>
      <c r="N271" s="340"/>
      <c r="O271" s="341"/>
    </row>
    <row r="272" spans="1:15" ht="16.2" outlineLevel="1">
      <c r="A272" s="288"/>
      <c r="B272" s="351" t="s">
        <v>708</v>
      </c>
      <c r="C272" s="388" t="str">
        <f>IF(OR(I272&lt;&gt;0,H272&lt;&gt;0),"x"," ")</f>
        <v xml:space="preserve"> </v>
      </c>
      <c r="D272" s="338"/>
      <c r="E272" s="358" t="str">
        <f>VLOOKUP($B272,DG!A:D,DG!$C$2,)</f>
        <v>Boulon 16x50</v>
      </c>
      <c r="F272" s="338" t="str">
        <f>VLOOKUP($B272,DG!A:D,DG!$D$2,)</f>
        <v>bộ</v>
      </c>
      <c r="G272" s="359">
        <v>2</v>
      </c>
      <c r="H272" s="360">
        <f t="shared" si="15"/>
        <v>0</v>
      </c>
      <c r="I272" s="360"/>
      <c r="J272" s="360"/>
      <c r="K272" s="360"/>
      <c r="L272" s="360"/>
      <c r="M272" s="332"/>
      <c r="N272" s="340"/>
      <c r="O272" s="341"/>
    </row>
    <row r="273" spans="1:15" ht="16.2" outlineLevel="1">
      <c r="A273" s="288"/>
      <c r="B273" s="351" t="s">
        <v>729</v>
      </c>
      <c r="C273" s="388" t="str">
        <f>IF(OR(I273&lt;&gt;0,H273&lt;&gt;0),"x"," ")</f>
        <v xml:space="preserve"> </v>
      </c>
      <c r="D273" s="338" t="str">
        <f>VLOOKUP($B273,DG!A:D,DG!$B$2,)</f>
        <v>05.6102</v>
      </c>
      <c r="E273" s="366" t="str">
        <f>VLOOKUP($B273,DG!A:D,DG!$C$2,)</f>
        <v>Lắp xà đỡ ≤ 50kg</v>
      </c>
      <c r="F273" s="338" t="str">
        <f>VLOOKUP($B273,DG!A:D,DG!$D$2,)</f>
        <v>bộ</v>
      </c>
      <c r="G273" s="359">
        <v>1</v>
      </c>
      <c r="H273" s="360">
        <f t="shared" si="15"/>
        <v>0</v>
      </c>
      <c r="I273" s="354"/>
      <c r="J273" s="354"/>
      <c r="K273" s="354"/>
      <c r="L273" s="354"/>
      <c r="M273" s="332"/>
      <c r="N273" s="340"/>
      <c r="O273" s="341"/>
    </row>
    <row r="274" spans="1:15" ht="16.2" outlineLevel="1">
      <c r="A274" s="288"/>
      <c r="B274" s="351" t="s">
        <v>710</v>
      </c>
      <c r="C274" s="388" t="str">
        <f>IF(OR(I274&lt;&gt;0,H274&lt;&gt;0),"x"," ")</f>
        <v xml:space="preserve"> </v>
      </c>
      <c r="D274" s="338" t="str">
        <f>VLOOKUP($B274,DG!A:D,DG!$B$2,)</f>
        <v>02.1115</v>
      </c>
      <c r="E274" s="366" t="str">
        <f>VLOOKUP($B274,DG!A:D,DG!$C$2,)</f>
        <v>Bốc dỡ xà, thép thanh</v>
      </c>
      <c r="F274" s="338" t="str">
        <f>VLOOKUP($B274,DG!A:D,DG!$D$2,)</f>
        <v>tấn</v>
      </c>
      <c r="G274" s="353">
        <f>G275</f>
        <v>0</v>
      </c>
      <c r="H274" s="360">
        <f>$H$268*$G274</f>
        <v>0</v>
      </c>
      <c r="I274" s="354"/>
      <c r="J274" s="354"/>
      <c r="K274" s="354"/>
      <c r="L274" s="354"/>
      <c r="M274" s="332"/>
      <c r="N274" s="340"/>
      <c r="O274" s="341"/>
    </row>
    <row r="275" spans="1:15" ht="16.2" outlineLevel="1">
      <c r="A275" s="288"/>
      <c r="B275" s="356" t="s">
        <v>711</v>
      </c>
      <c r="C275" s="388" t="str">
        <f>IF(OR(I275&lt;&gt;0,H275&lt;&gt;0),"x"," ")</f>
        <v xml:space="preserve"> </v>
      </c>
      <c r="D275" s="338" t="str">
        <f>VLOOKUP($B275,DG!A:C,2,)</f>
        <v>02.1361</v>
      </c>
      <c r="E275" s="366" t="str">
        <f>VLOOKUP($B275,DG!A:C,3,)</f>
        <v>V/c xà vào vị trí (cư ly &lt;=100m)</v>
      </c>
      <c r="F275" s="338" t="str">
        <f>VLOOKUP($B275,DG!A:D,4,0)</f>
        <v>tấn</v>
      </c>
      <c r="G275" s="353">
        <f>ROUND(SUM(G269:G270)*1.05/1000,3)*0</f>
        <v>0</v>
      </c>
      <c r="H275" s="360">
        <f t="shared" si="15"/>
        <v>0</v>
      </c>
      <c r="I275" s="354"/>
      <c r="J275" s="354"/>
      <c r="K275" s="354"/>
      <c r="L275" s="354"/>
      <c r="M275" s="332"/>
      <c r="N275" s="340"/>
      <c r="O275" s="341"/>
    </row>
    <row r="276" spans="1:15" ht="16.2" outlineLevel="1">
      <c r="A276" s="288"/>
      <c r="B276" s="356" t="s">
        <v>447</v>
      </c>
      <c r="C276" s="388" t="str">
        <f>IF(OR(I276&lt;&gt;0,H276&lt;&gt;0),"x"," ")</f>
        <v xml:space="preserve"> </v>
      </c>
      <c r="D276" s="338" t="str">
        <f>VLOOKUP($B276,DG!A:C,2,)</f>
        <v>02.1482</v>
      </c>
      <c r="E276" s="366" t="str">
        <f>VLOOKUP($B276,DG!A:C,3,)</f>
        <v>V/c dụng cụ thi công vào vị trí (cự ly &lt;=100m)</v>
      </c>
      <c r="F276" s="338" t="str">
        <f>VLOOKUP($B276,DG!A:D,4,0)</f>
        <v>tấn</v>
      </c>
      <c r="G276" s="357">
        <f>0.05*0</f>
        <v>0</v>
      </c>
      <c r="H276" s="360">
        <f t="shared" si="15"/>
        <v>0</v>
      </c>
      <c r="I276" s="354"/>
      <c r="J276" s="354"/>
      <c r="K276" s="354"/>
      <c r="L276" s="354"/>
      <c r="M276" s="332"/>
      <c r="N276" s="340"/>
      <c r="O276" s="341"/>
    </row>
    <row r="277" spans="1:15" ht="16.2" outlineLevel="1">
      <c r="A277" s="342" t="s">
        <v>732</v>
      </c>
      <c r="B277" s="343" t="s">
        <v>732</v>
      </c>
      <c r="C277" s="388" t="str">
        <f>IF(OR(I277&lt;&gt;0,H277&lt;&gt;0),"x"," ")</f>
        <v xml:space="preserve"> </v>
      </c>
      <c r="D277" s="345"/>
      <c r="E277" s="346" t="s">
        <v>733</v>
      </c>
      <c r="F277" s="347" t="s">
        <v>285</v>
      </c>
      <c r="G277" s="348"/>
      <c r="H277" s="349">
        <f>IFERROR(HLOOKUP(B277,'BKT-ThuHoi'!$5:$183,179,0),0)</f>
        <v>0</v>
      </c>
      <c r="I277" s="350">
        <f>H277+J277-K277</f>
        <v>0</v>
      </c>
      <c r="J277" s="350"/>
      <c r="K277" s="350"/>
      <c r="L277" s="350"/>
      <c r="M277" s="332"/>
      <c r="N277" s="340"/>
      <c r="O277" s="341"/>
    </row>
    <row r="278" spans="1:15" ht="16.2" outlineLevel="1">
      <c r="A278" s="288"/>
      <c r="B278" s="397" t="s">
        <v>734</v>
      </c>
      <c r="C278" s="388" t="str">
        <f>IF(OR(I278&lt;&gt;0,H278&lt;&gt;0),"x"," ")</f>
        <v xml:space="preserve"> </v>
      </c>
      <c r="D278" s="338"/>
      <c r="E278" s="366" t="str">
        <f>VLOOKUP($B278,DG!A:D,DG!$C$2,)</f>
        <v>Lắp xà trụ ghép ≤ 140kg</v>
      </c>
      <c r="F278" s="338" t="str">
        <f>VLOOKUP($B278,DG!A:D,DG!$D$2,)</f>
        <v>bộ</v>
      </c>
      <c r="G278" s="357">
        <v>1</v>
      </c>
      <c r="H278" s="360">
        <f>$H$7794*$G278</f>
        <v>0</v>
      </c>
      <c r="I278" s="360"/>
      <c r="J278" s="360"/>
      <c r="K278" s="360"/>
      <c r="L278" s="360"/>
      <c r="M278" s="332"/>
      <c r="N278" s="340"/>
      <c r="O278" s="341"/>
    </row>
    <row r="279" spans="1:15" ht="16.2" outlineLevel="1">
      <c r="A279" s="288"/>
      <c r="B279" s="351" t="s">
        <v>710</v>
      </c>
      <c r="C279" s="388" t="str">
        <f>IF(OR(I279&lt;&gt;0,H279&lt;&gt;0),"x"," ")</f>
        <v xml:space="preserve"> </v>
      </c>
      <c r="D279" s="338"/>
      <c r="E279" s="366" t="str">
        <f>VLOOKUP($B279,DG!A:D,DG!$C$2,)</f>
        <v>Bốc dỡ xà, thép thanh</v>
      </c>
      <c r="F279" s="338" t="str">
        <f>VLOOKUP($B279,DG!A:D,DG!$D$2,)</f>
        <v>tấn</v>
      </c>
      <c r="G279" s="357">
        <f>G280</f>
        <v>0.06</v>
      </c>
      <c r="H279" s="360">
        <f>$H$7794*$G279</f>
        <v>0</v>
      </c>
      <c r="I279" s="360"/>
      <c r="J279" s="360"/>
      <c r="K279" s="360"/>
      <c r="L279" s="360"/>
      <c r="M279" s="332"/>
      <c r="N279" s="340"/>
      <c r="O279" s="341"/>
    </row>
    <row r="280" spans="1:15" ht="16.2" outlineLevel="1">
      <c r="A280" s="288"/>
      <c r="B280" s="356" t="s">
        <v>711</v>
      </c>
      <c r="C280" s="388" t="str">
        <f>IF(OR(I280&lt;&gt;0,H280&lt;&gt;0),"x"," ")</f>
        <v xml:space="preserve"> </v>
      </c>
      <c r="D280" s="338" t="str">
        <f>VLOOKUP($B280,DG!A:C,2,)</f>
        <v>02.1361</v>
      </c>
      <c r="E280" s="366" t="str">
        <f>VLOOKUP($B280,DG!A:C,3,)</f>
        <v>V/c xà vào vị trí (cư ly &lt;=100m)</v>
      </c>
      <c r="F280" s="338" t="str">
        <f>VLOOKUP($B280,DG!A:D,4,0)</f>
        <v>tấn</v>
      </c>
      <c r="G280" s="353">
        <v>0.06</v>
      </c>
      <c r="H280" s="360">
        <f>$H$7794*$G280</f>
        <v>0</v>
      </c>
      <c r="I280" s="354"/>
      <c r="J280" s="354"/>
      <c r="K280" s="354"/>
      <c r="L280" s="354"/>
      <c r="M280" s="332"/>
      <c r="N280" s="340"/>
      <c r="O280" s="341"/>
    </row>
    <row r="281" spans="1:15" ht="16.2" outlineLevel="1">
      <c r="A281" s="288"/>
      <c r="B281" s="356" t="s">
        <v>447</v>
      </c>
      <c r="C281" s="388" t="str">
        <f>IF(OR(I281&lt;&gt;0,H281&lt;&gt;0),"x"," ")</f>
        <v xml:space="preserve"> </v>
      </c>
      <c r="D281" s="338" t="str">
        <f>VLOOKUP($B281,DG!A:C,2,)</f>
        <v>02.1482</v>
      </c>
      <c r="E281" s="366" t="str">
        <f>VLOOKUP($B281,DG!A:C,3,)</f>
        <v>V/c dụng cụ thi công vào vị trí (cự ly &lt;=100m)</v>
      </c>
      <c r="F281" s="338" t="str">
        <f>VLOOKUP($B281,DG!A:D,4,0)</f>
        <v>tấn</v>
      </c>
      <c r="G281" s="357">
        <v>0.05</v>
      </c>
      <c r="H281" s="360">
        <f>$H$7794*$G281</f>
        <v>0</v>
      </c>
      <c r="I281" s="354"/>
      <c r="J281" s="354"/>
      <c r="K281" s="354"/>
      <c r="L281" s="354"/>
      <c r="M281" s="332"/>
      <c r="N281" s="340"/>
      <c r="O281" s="341"/>
    </row>
    <row r="282" spans="1:15" ht="16.2" outlineLevel="1">
      <c r="A282" s="382" t="s">
        <v>735</v>
      </c>
      <c r="B282" s="373" t="s">
        <v>735</v>
      </c>
      <c r="C282" s="388" t="str">
        <f>IF(OR(I282&lt;&gt;0,H282&lt;&gt;0),"x"," ")</f>
        <v>x</v>
      </c>
      <c r="D282" s="345"/>
      <c r="E282" s="398" t="s">
        <v>736</v>
      </c>
      <c r="F282" s="347" t="s">
        <v>285</v>
      </c>
      <c r="G282" s="348"/>
      <c r="H282" s="349">
        <f>IFERROR(HLOOKUP(B282,'BKT-ThuHoi'!$5:$183,179,0),0)</f>
        <v>4</v>
      </c>
      <c r="I282" s="399">
        <f>H282+J282-K282</f>
        <v>4</v>
      </c>
      <c r="J282" s="350"/>
      <c r="K282" s="350"/>
      <c r="L282" s="350"/>
      <c r="M282" s="340"/>
      <c r="N282" s="340"/>
      <c r="O282" s="341"/>
    </row>
    <row r="283" spans="1:15" ht="16.2" outlineLevel="1">
      <c r="A283" s="384"/>
      <c r="B283" s="336" t="s">
        <v>3978</v>
      </c>
      <c r="C283" s="388" t="str">
        <f>IF(OR(I283&lt;&gt;0,H283&lt;&gt;0),"x"," ")</f>
        <v>x</v>
      </c>
      <c r="D283" s="338"/>
      <c r="E283" s="358" t="str">
        <f>VLOOKUP($B283,DG!A:D,DG!$C$2,)</f>
        <v>Đà 2,2m X-2,2Đ</v>
      </c>
      <c r="F283" s="338" t="str">
        <f>VLOOKUP($B283,DG!A:D,DG!$D$2,)</f>
        <v>Cái</v>
      </c>
      <c r="G283" s="357">
        <v>2</v>
      </c>
      <c r="H283" s="360">
        <f t="shared" ref="H283:H288" si="16">$H$282*$G283</f>
        <v>8</v>
      </c>
      <c r="I283" s="360">
        <f>$I$282*G283</f>
        <v>8</v>
      </c>
      <c r="J283" s="360">
        <f>$J$282*G283</f>
        <v>0</v>
      </c>
      <c r="K283" s="360"/>
      <c r="L283" s="360"/>
      <c r="M283" s="339"/>
      <c r="N283" s="340"/>
      <c r="O283" s="341"/>
    </row>
    <row r="284" spans="1:15" ht="16.2" outlineLevel="1">
      <c r="A284" s="384"/>
      <c r="B284" s="336" t="s">
        <v>3891</v>
      </c>
      <c r="C284" s="388" t="str">
        <f>IF(OR(I284&lt;&gt;0,H284&lt;&gt;0),"x"," ")</f>
        <v>x</v>
      </c>
      <c r="D284" s="338"/>
      <c r="E284" s="358" t="str">
        <f>VLOOKUP($B284,DG!A:D,DG!$C$2,)&amp;": thanh chống 810"</f>
        <v>Thanh chống đà  810: thanh chống 810</v>
      </c>
      <c r="F284" s="338" t="str">
        <f>VLOOKUP($B284,DG!A:D,DG!$D$2,)</f>
        <v>cái</v>
      </c>
      <c r="G284" s="357">
        <v>4</v>
      </c>
      <c r="H284" s="360">
        <f t="shared" si="16"/>
        <v>16</v>
      </c>
      <c r="I284" s="360">
        <f>$I$282*G284</f>
        <v>16</v>
      </c>
      <c r="J284" s="360">
        <f>$J$282*G284</f>
        <v>0</v>
      </c>
      <c r="K284" s="360"/>
      <c r="L284" s="360"/>
      <c r="M284" s="339"/>
      <c r="N284" s="340"/>
      <c r="O284" s="341"/>
    </row>
    <row r="285" spans="1:15" ht="16.2" outlineLevel="1">
      <c r="A285" s="384"/>
      <c r="B285" s="336" t="s">
        <v>737</v>
      </c>
      <c r="C285" s="388" t="str">
        <f>IF(OR(I285&lt;&gt;0,H285&lt;&gt;0),"x"," ")</f>
        <v>x</v>
      </c>
      <c r="D285" s="338"/>
      <c r="E285" s="358" t="str">
        <f>VLOOKUP($B285,DG!A:D,DG!$C$2,)</f>
        <v>Boulon 16x500</v>
      </c>
      <c r="F285" s="338" t="str">
        <f>VLOOKUP($B285,DG!A:D,DG!$D$2,)</f>
        <v>bộ</v>
      </c>
      <c r="G285" s="359">
        <v>1</v>
      </c>
      <c r="H285" s="360">
        <f t="shared" si="16"/>
        <v>4</v>
      </c>
      <c r="I285" s="360">
        <f>$I$282*G285</f>
        <v>4</v>
      </c>
      <c r="J285" s="360">
        <f>$J$282*G285</f>
        <v>0</v>
      </c>
      <c r="K285" s="360"/>
      <c r="L285" s="360"/>
      <c r="M285" s="339"/>
      <c r="N285" s="340"/>
      <c r="O285" s="341"/>
    </row>
    <row r="286" spans="1:15" ht="16.2" outlineLevel="1">
      <c r="A286" s="384"/>
      <c r="B286" s="336" t="s">
        <v>738</v>
      </c>
      <c r="C286" s="388" t="str">
        <f>IF(OR(I286&lt;&gt;0,H286&lt;&gt;0),"x"," ")</f>
        <v>x</v>
      </c>
      <c r="D286" s="338"/>
      <c r="E286" s="358" t="str">
        <f>VLOOKUP($B286,DG!A:D,DG!$C$2,)</f>
        <v>Boulon 16x600</v>
      </c>
      <c r="F286" s="338" t="str">
        <f>VLOOKUP($B286,DG!A:D,DG!$D$2,)</f>
        <v>bộ</v>
      </c>
      <c r="G286" s="359">
        <v>1</v>
      </c>
      <c r="H286" s="360">
        <f t="shared" si="16"/>
        <v>4</v>
      </c>
      <c r="I286" s="360">
        <f>$I$282*G286</f>
        <v>4</v>
      </c>
      <c r="J286" s="360">
        <f>$J$282*G286</f>
        <v>0</v>
      </c>
      <c r="K286" s="360"/>
      <c r="L286" s="360"/>
      <c r="M286" s="339"/>
      <c r="N286" s="340"/>
      <c r="O286" s="341"/>
    </row>
    <row r="287" spans="1:15" ht="16.2" outlineLevel="1">
      <c r="A287" s="384"/>
      <c r="B287" s="336" t="s">
        <v>739</v>
      </c>
      <c r="C287" s="388" t="str">
        <f>IF(OR(I287&lt;&gt;0,H287&lt;&gt;0),"x"," ")</f>
        <v>x</v>
      </c>
      <c r="D287" s="338"/>
      <c r="E287" s="358" t="str">
        <f>VLOOKUP($B287,DG!A:D,DG!$C$2,)</f>
        <v>Boulon 16x550VRS+ 4 long đền vuông D18-50x50x3/Zn</v>
      </c>
      <c r="F287" s="338" t="str">
        <f>VLOOKUP($B287,DG!A:D,DG!$D$2,)</f>
        <v>bộ</v>
      </c>
      <c r="G287" s="359">
        <v>4</v>
      </c>
      <c r="H287" s="360">
        <f t="shared" si="16"/>
        <v>16</v>
      </c>
      <c r="I287" s="360">
        <f>$I$282*G287</f>
        <v>16</v>
      </c>
      <c r="J287" s="360">
        <f>$J$282*G287</f>
        <v>0</v>
      </c>
      <c r="K287" s="360"/>
      <c r="L287" s="360"/>
      <c r="M287" s="339"/>
      <c r="N287" s="340"/>
      <c r="O287" s="341"/>
    </row>
    <row r="288" spans="1:15" ht="16.2" outlineLevel="1">
      <c r="A288" s="384"/>
      <c r="B288" s="336" t="s">
        <v>708</v>
      </c>
      <c r="C288" s="388" t="str">
        <f>IF(OR(I288&lt;&gt;0,H288&lt;&gt;0),"x"," ")</f>
        <v>x</v>
      </c>
      <c r="D288" s="338"/>
      <c r="E288" s="358" t="str">
        <f>VLOOKUP($B288,DG!A:D,DG!$C$2,)</f>
        <v>Boulon 16x50</v>
      </c>
      <c r="F288" s="338" t="str">
        <f>VLOOKUP($B288,DG!A:D,DG!$D$2,)</f>
        <v>bộ</v>
      </c>
      <c r="G288" s="359">
        <v>4</v>
      </c>
      <c r="H288" s="360">
        <f t="shared" si="16"/>
        <v>16</v>
      </c>
      <c r="I288" s="360">
        <f>$I$282*G288</f>
        <v>16</v>
      </c>
      <c r="J288" s="360">
        <f>$J$282*G288</f>
        <v>0</v>
      </c>
      <c r="K288" s="360"/>
      <c r="L288" s="360"/>
      <c r="M288" s="339"/>
      <c r="N288" s="340"/>
      <c r="O288" s="341"/>
    </row>
    <row r="289" spans="1:15" ht="16.2" outlineLevel="1">
      <c r="A289" s="384"/>
      <c r="B289" s="336" t="s">
        <v>719</v>
      </c>
      <c r="C289" s="388" t="str">
        <f>IF(OR(I289&lt;&gt;0,H289&lt;&gt;0),"x"," ")</f>
        <v>x</v>
      </c>
      <c r="D289" s="396" t="str">
        <f>VLOOKUP($B289,DG!A:D,DG!$B$2,)</f>
        <v>05.6203</v>
      </c>
      <c r="E289" s="366" t="str">
        <f>VLOOKUP($B289,DG!A:D,DG!$C$2,)</f>
        <v>Lắp xà néo ≤ 100kg</v>
      </c>
      <c r="F289" s="338" t="str">
        <f>VLOOKUP($B289,DG!A:D,DG!$D$2,)</f>
        <v>bộ</v>
      </c>
      <c r="G289" s="359">
        <v>1</v>
      </c>
      <c r="H289" s="354"/>
      <c r="I289" s="360">
        <f>$I$282*G289</f>
        <v>4</v>
      </c>
      <c r="J289" s="360">
        <f>$J$282*G289</f>
        <v>0</v>
      </c>
      <c r="K289" s="354"/>
      <c r="L289" s="354"/>
      <c r="M289" s="339"/>
      <c r="N289" s="340"/>
      <c r="O289" s="341"/>
    </row>
    <row r="290" spans="1:15" ht="16.2" outlineLevel="1">
      <c r="A290" s="288"/>
      <c r="B290" s="351" t="s">
        <v>710</v>
      </c>
      <c r="C290" s="388" t="str">
        <f>IF(OR(I290&lt;&gt;0,H290&lt;&gt;0),"x"," ")</f>
        <v xml:space="preserve"> </v>
      </c>
      <c r="D290" s="338" t="str">
        <f>VLOOKUP($B290,DG!A:D,DG!$B$2,)</f>
        <v>02.1115</v>
      </c>
      <c r="E290" s="366" t="str">
        <f>VLOOKUP($B290,DG!A:D,DG!$C$2,)</f>
        <v>Bốc dỡ xà, thép thanh</v>
      </c>
      <c r="F290" s="338" t="str">
        <f>VLOOKUP($B290,DG!A:D,DG!$D$2,)</f>
        <v>tấn</v>
      </c>
      <c r="G290" s="353">
        <f>G291</f>
        <v>0</v>
      </c>
      <c r="H290" s="354"/>
      <c r="I290" s="354"/>
      <c r="J290" s="354"/>
      <c r="K290" s="354"/>
      <c r="L290" s="354"/>
      <c r="M290" s="332"/>
      <c r="N290" s="340"/>
      <c r="O290" s="341"/>
    </row>
    <row r="291" spans="1:15" ht="16.2" outlineLevel="1">
      <c r="A291" s="288"/>
      <c r="B291" s="356" t="s">
        <v>711</v>
      </c>
      <c r="C291" s="388" t="str">
        <f>IF(OR(I291&lt;&gt;0,H291&lt;&gt;0),"x"," ")</f>
        <v xml:space="preserve"> </v>
      </c>
      <c r="D291" s="338" t="str">
        <f>VLOOKUP($B291,DG!A:C,2,)</f>
        <v>02.1361</v>
      </c>
      <c r="E291" s="366" t="str">
        <f>VLOOKUP($B291,DG!A:C,3,)</f>
        <v>V/c xà vào vị trí (cư ly &lt;=100m)</v>
      </c>
      <c r="F291" s="338" t="str">
        <f>VLOOKUP($B291,DG!A:D,4,0)</f>
        <v>tấn</v>
      </c>
      <c r="G291" s="353">
        <f>ROUND(SUM(G283:G284)*1.05/1000,3)*0</f>
        <v>0</v>
      </c>
      <c r="H291" s="354"/>
      <c r="I291" s="354"/>
      <c r="J291" s="354"/>
      <c r="K291" s="354"/>
      <c r="L291" s="354"/>
      <c r="M291" s="332"/>
      <c r="N291" s="340"/>
      <c r="O291" s="341"/>
    </row>
    <row r="292" spans="1:15" ht="16.2" outlineLevel="1">
      <c r="A292" s="288"/>
      <c r="B292" s="356" t="s">
        <v>447</v>
      </c>
      <c r="C292" s="388" t="str">
        <f>IF(OR(I292&lt;&gt;0,H292&lt;&gt;0),"x"," ")</f>
        <v xml:space="preserve"> </v>
      </c>
      <c r="D292" s="338" t="str">
        <f>VLOOKUP($B292,DG!A:C,2,)</f>
        <v>02.1482</v>
      </c>
      <c r="E292" s="366" t="str">
        <f>VLOOKUP($B292,DG!A:C,3,)</f>
        <v>V/c dụng cụ thi công vào vị trí (cự ly &lt;=100m)</v>
      </c>
      <c r="F292" s="338" t="str">
        <f>VLOOKUP($B292,DG!A:D,4,0)</f>
        <v>tấn</v>
      </c>
      <c r="G292" s="357">
        <f>0.05*0</f>
        <v>0</v>
      </c>
      <c r="H292" s="354"/>
      <c r="I292" s="354"/>
      <c r="J292" s="354"/>
      <c r="K292" s="354"/>
      <c r="L292" s="354"/>
      <c r="M292" s="332"/>
      <c r="N292" s="340"/>
      <c r="O292" s="341"/>
    </row>
    <row r="293" spans="1:15" ht="16.2" outlineLevel="1">
      <c r="A293" s="342" t="s">
        <v>740</v>
      </c>
      <c r="B293" s="343" t="s">
        <v>740</v>
      </c>
      <c r="C293" s="388" t="str">
        <f>IF(OR(I293&lt;&gt;0,H293&lt;&gt;0),"x"," ")</f>
        <v xml:space="preserve"> </v>
      </c>
      <c r="D293" s="345"/>
      <c r="E293" s="346" t="s">
        <v>741</v>
      </c>
      <c r="F293" s="347" t="s">
        <v>285</v>
      </c>
      <c r="G293" s="348"/>
      <c r="H293" s="349">
        <f>IFERROR(HLOOKUP(B293,'BKT-ThuHoi'!$5:$183,179,0),0)</f>
        <v>0</v>
      </c>
      <c r="I293" s="350">
        <f>H293+J293-K293</f>
        <v>0</v>
      </c>
      <c r="J293" s="350"/>
      <c r="K293" s="350"/>
      <c r="L293" s="350"/>
      <c r="M293" s="332"/>
      <c r="N293" s="340"/>
      <c r="O293" s="341"/>
    </row>
    <row r="294" spans="1:15" ht="16.2" outlineLevel="1">
      <c r="A294" s="288"/>
      <c r="B294" s="351" t="s">
        <v>704</v>
      </c>
      <c r="C294" s="388" t="str">
        <f>IF(OR(I294&lt;&gt;0,H294&lt;&gt;0),"x"," ")</f>
        <v xml:space="preserve"> </v>
      </c>
      <c r="D294" s="338"/>
      <c r="E294" s="358" t="str">
        <f>VLOOKUP($B294,DG!A:D,DG!$C$2,)</f>
        <v>Sắt góc L75 x75 x8</v>
      </c>
      <c r="F294" s="338" t="str">
        <f>VLOOKUP($B294,DG!A:D,DG!$D$2,)</f>
        <v>kg</v>
      </c>
      <c r="G294" s="357">
        <f>9.02*(2.2+4*0.07)*2</f>
        <v>44.739200000000004</v>
      </c>
      <c r="H294" s="360">
        <f t="shared" ref="H294:H299" si="17">H$293*$G294</f>
        <v>0</v>
      </c>
      <c r="I294" s="360"/>
      <c r="J294" s="360"/>
      <c r="K294" s="360"/>
      <c r="L294" s="360"/>
      <c r="M294" s="332"/>
      <c r="N294" s="340"/>
      <c r="O294" s="341"/>
    </row>
    <row r="295" spans="1:15" ht="16.2" outlineLevel="1">
      <c r="A295" s="288"/>
      <c r="B295" s="351" t="s">
        <v>705</v>
      </c>
      <c r="C295" s="388" t="str">
        <f>IF(OR(I295&lt;&gt;0,H295&lt;&gt;0),"x"," ")</f>
        <v xml:space="preserve"> </v>
      </c>
      <c r="D295" s="338"/>
      <c r="E295" s="358" t="str">
        <f>VLOOKUP($B295,DG!A:D,DG!$C$2,)&amp;": thanh chống 920"</f>
        <v>Sắt góc L50 x50 x5: thanh chống 920</v>
      </c>
      <c r="F295" s="338" t="str">
        <f>VLOOKUP($B295,DG!A:D,DG!$D$2,)</f>
        <v>kg</v>
      </c>
      <c r="G295" s="357">
        <f>3.77*0.92*4</f>
        <v>13.873600000000001</v>
      </c>
      <c r="H295" s="360">
        <f t="shared" si="17"/>
        <v>0</v>
      </c>
      <c r="I295" s="360"/>
      <c r="J295" s="360"/>
      <c r="K295" s="360"/>
      <c r="L295" s="360"/>
      <c r="M295" s="332"/>
      <c r="N295" s="340"/>
      <c r="O295" s="341"/>
    </row>
    <row r="296" spans="1:15" ht="16.2" outlineLevel="1">
      <c r="A296" s="288"/>
      <c r="B296" s="351" t="s">
        <v>707</v>
      </c>
      <c r="C296" s="388" t="str">
        <f>IF(OR(I296&lt;&gt;0,H296&lt;&gt;0),"x"," ")</f>
        <v xml:space="preserve"> </v>
      </c>
      <c r="D296" s="338"/>
      <c r="E296" s="358" t="str">
        <f>VLOOKUP($B296,DG!A:D,DG!$C$2,)</f>
        <v>Boulon 16x250</v>
      </c>
      <c r="F296" s="338" t="str">
        <f>VLOOKUP($B296,DG!A:D,DG!$D$2,)</f>
        <v>bộ</v>
      </c>
      <c r="G296" s="359">
        <v>1</v>
      </c>
      <c r="H296" s="360">
        <f t="shared" si="17"/>
        <v>0</v>
      </c>
      <c r="I296" s="360"/>
      <c r="J296" s="360"/>
      <c r="K296" s="360"/>
      <c r="L296" s="360"/>
      <c r="M296" s="332"/>
      <c r="N296" s="340"/>
      <c r="O296" s="341"/>
    </row>
    <row r="297" spans="1:15" ht="16.2" outlineLevel="1">
      <c r="A297" s="288"/>
      <c r="B297" s="351" t="s">
        <v>717</v>
      </c>
      <c r="C297" s="388" t="str">
        <f>IF(OR(I297&lt;&gt;0,H297&lt;&gt;0),"x"," ")</f>
        <v xml:space="preserve"> </v>
      </c>
      <c r="D297" s="338"/>
      <c r="E297" s="358" t="str">
        <f>VLOOKUP($B297,DG!A:D,DG!$C$2,)</f>
        <v>Boulon 16x300</v>
      </c>
      <c r="F297" s="338" t="str">
        <f>VLOOKUP($B297,DG!A:D,DG!$D$2,)</f>
        <v>bộ</v>
      </c>
      <c r="G297" s="359">
        <v>1</v>
      </c>
      <c r="H297" s="360">
        <f t="shared" si="17"/>
        <v>0</v>
      </c>
      <c r="I297" s="360"/>
      <c r="J297" s="360"/>
      <c r="K297" s="360"/>
      <c r="L297" s="360"/>
      <c r="M297" s="332"/>
      <c r="N297" s="340"/>
      <c r="O297" s="341"/>
    </row>
    <row r="298" spans="1:15" ht="16.2" outlineLevel="1">
      <c r="A298" s="288"/>
      <c r="B298" s="351" t="s">
        <v>718</v>
      </c>
      <c r="C298" s="388" t="str">
        <f>IF(OR(I298&lt;&gt;0,H298&lt;&gt;0),"x"," ")</f>
        <v xml:space="preserve"> </v>
      </c>
      <c r="D298" s="338"/>
      <c r="E298" s="358" t="str">
        <f>VLOOKUP($B298,DG!A:D,DG!$C$2,)</f>
        <v>Boulon 16x300VRS</v>
      </c>
      <c r="F298" s="338" t="str">
        <f>VLOOKUP($B298,DG!A:D,DG!$D$2,)</f>
        <v>bộ</v>
      </c>
      <c r="G298" s="359">
        <v>4</v>
      </c>
      <c r="H298" s="360">
        <f t="shared" si="17"/>
        <v>0</v>
      </c>
      <c r="I298" s="360"/>
      <c r="J298" s="360"/>
      <c r="K298" s="360"/>
      <c r="L298" s="360"/>
      <c r="M298" s="332"/>
      <c r="N298" s="340"/>
      <c r="O298" s="341"/>
    </row>
    <row r="299" spans="1:15" ht="16.2" outlineLevel="1">
      <c r="A299" s="288"/>
      <c r="B299" s="351" t="s">
        <v>708</v>
      </c>
      <c r="C299" s="388" t="str">
        <f>IF(OR(I299&lt;&gt;0,H299&lt;&gt;0),"x"," ")</f>
        <v xml:space="preserve"> </v>
      </c>
      <c r="D299" s="338"/>
      <c r="E299" s="358" t="str">
        <f>VLOOKUP($B299,DG!A:D,DG!$C$2,)</f>
        <v>Boulon 16x50</v>
      </c>
      <c r="F299" s="338" t="str">
        <f>VLOOKUP($B299,DG!A:D,DG!$D$2,)</f>
        <v>bộ</v>
      </c>
      <c r="G299" s="359">
        <v>4</v>
      </c>
      <c r="H299" s="360">
        <f t="shared" si="17"/>
        <v>0</v>
      </c>
      <c r="I299" s="360"/>
      <c r="J299" s="360"/>
      <c r="K299" s="360"/>
      <c r="L299" s="360"/>
      <c r="M299" s="332"/>
      <c r="N299" s="340"/>
      <c r="O299" s="341"/>
    </row>
    <row r="300" spans="1:15" ht="16.2" outlineLevel="1">
      <c r="A300" s="288"/>
      <c r="B300" s="351" t="s">
        <v>742</v>
      </c>
      <c r="C300" s="388" t="str">
        <f>IF(OR(I300&lt;&gt;0,H300&lt;&gt;0),"x"," ")</f>
        <v xml:space="preserve"> </v>
      </c>
      <c r="D300" s="338" t="str">
        <f>VLOOKUP($B300,DG!A:D,DG!$B$2,)</f>
        <v>05.6203</v>
      </c>
      <c r="E300" s="366" t="str">
        <f>VLOOKUP($B300,DG!A:D,DG!$C$2,)</f>
        <v>Lắp xà néo ≤ 100kg</v>
      </c>
      <c r="F300" s="338" t="str">
        <f>VLOOKUP($B300,DG!A:D,DG!$D$2,)</f>
        <v>bộ</v>
      </c>
      <c r="G300" s="359">
        <v>1</v>
      </c>
      <c r="H300" s="354"/>
      <c r="I300" s="354"/>
      <c r="J300" s="354"/>
      <c r="K300" s="354"/>
      <c r="L300" s="354"/>
      <c r="M300" s="332"/>
      <c r="N300" s="340"/>
      <c r="O300" s="341"/>
    </row>
    <row r="301" spans="1:15" ht="16.2" outlineLevel="1">
      <c r="A301" s="288"/>
      <c r="B301" s="351" t="s">
        <v>710</v>
      </c>
      <c r="C301" s="388" t="str">
        <f>IF(OR(I301&lt;&gt;0,H301&lt;&gt;0),"x"," ")</f>
        <v xml:space="preserve"> </v>
      </c>
      <c r="D301" s="338" t="str">
        <f>VLOOKUP($B301,DG!A:D,DG!$B$2,)</f>
        <v>02.1115</v>
      </c>
      <c r="E301" s="366" t="str">
        <f>VLOOKUP($B301,DG!A:D,DG!$C$2,)</f>
        <v>Bốc dỡ xà, thép thanh</v>
      </c>
      <c r="F301" s="338" t="str">
        <f>VLOOKUP($B301,DG!A:D,DG!$D$2,)</f>
        <v>tấn</v>
      </c>
      <c r="G301" s="353">
        <f>G302</f>
        <v>0</v>
      </c>
      <c r="H301" s="354"/>
      <c r="I301" s="354"/>
      <c r="J301" s="354"/>
      <c r="K301" s="354"/>
      <c r="L301" s="354"/>
      <c r="M301" s="332"/>
      <c r="N301" s="340"/>
      <c r="O301" s="341"/>
    </row>
    <row r="302" spans="1:15" ht="16.2" outlineLevel="1">
      <c r="A302" s="288"/>
      <c r="B302" s="356" t="s">
        <v>711</v>
      </c>
      <c r="C302" s="388" t="str">
        <f>IF(OR(I302&lt;&gt;0,H302&lt;&gt;0),"x"," ")</f>
        <v xml:space="preserve"> </v>
      </c>
      <c r="D302" s="338" t="str">
        <f>VLOOKUP($B302,DG!A:C,2,)</f>
        <v>02.1361</v>
      </c>
      <c r="E302" s="366" t="str">
        <f>VLOOKUP($B302,DG!A:C,3,)</f>
        <v>V/c xà vào vị trí (cư ly &lt;=100m)</v>
      </c>
      <c r="F302" s="338" t="str">
        <f>VLOOKUP($B302,DG!A:D,4,0)</f>
        <v>tấn</v>
      </c>
      <c r="G302" s="353">
        <f>ROUND(SUM(G294:G295)*1.05/1000,3)*0</f>
        <v>0</v>
      </c>
      <c r="H302" s="354"/>
      <c r="I302" s="354"/>
      <c r="J302" s="354"/>
      <c r="K302" s="354"/>
      <c r="L302" s="354"/>
      <c r="M302" s="332"/>
      <c r="N302" s="340"/>
      <c r="O302" s="341"/>
    </row>
    <row r="303" spans="1:15" ht="16.2" outlineLevel="1">
      <c r="A303" s="288"/>
      <c r="B303" s="356" t="s">
        <v>447</v>
      </c>
      <c r="C303" s="388" t="str">
        <f>IF(OR(I303&lt;&gt;0,H303&lt;&gt;0),"x"," ")</f>
        <v xml:space="preserve"> </v>
      </c>
      <c r="D303" s="338" t="str">
        <f>VLOOKUP($B303,DG!A:C,2,)</f>
        <v>02.1482</v>
      </c>
      <c r="E303" s="366" t="str">
        <f>VLOOKUP($B303,DG!A:C,3,)</f>
        <v>V/c dụng cụ thi công vào vị trí (cự ly &lt;=100m)</v>
      </c>
      <c r="F303" s="338" t="str">
        <f>VLOOKUP($B303,DG!A:D,4,0)</f>
        <v>tấn</v>
      </c>
      <c r="G303" s="357">
        <f>0.05*0</f>
        <v>0</v>
      </c>
      <c r="H303" s="354"/>
      <c r="I303" s="354"/>
      <c r="J303" s="354"/>
      <c r="K303" s="354"/>
      <c r="L303" s="354"/>
      <c r="M303" s="332"/>
      <c r="N303" s="340"/>
      <c r="O303" s="341"/>
    </row>
    <row r="304" spans="1:15" ht="16.2" outlineLevel="1">
      <c r="A304" s="342" t="s">
        <v>743</v>
      </c>
      <c r="B304" s="343" t="s">
        <v>743</v>
      </c>
      <c r="C304" s="388" t="str">
        <f>IF(OR(I304&lt;&gt;0,H304&lt;&gt;0),"x"," ")</f>
        <v xml:space="preserve"> </v>
      </c>
      <c r="D304" s="345"/>
      <c r="E304" s="346" t="s">
        <v>744</v>
      </c>
      <c r="F304" s="347" t="s">
        <v>285</v>
      </c>
      <c r="G304" s="348"/>
      <c r="H304" s="349">
        <f>IFERROR(HLOOKUP(B304,'BKT-ThuHoi'!$5:$183,179,0),0)</f>
        <v>0</v>
      </c>
      <c r="I304" s="350">
        <f>H304+J304-K304</f>
        <v>0</v>
      </c>
      <c r="J304" s="350"/>
      <c r="K304" s="350"/>
      <c r="L304" s="350"/>
      <c r="M304" s="332"/>
      <c r="N304" s="340"/>
      <c r="O304" s="341"/>
    </row>
    <row r="305" spans="1:15" ht="16.2" outlineLevel="1">
      <c r="A305" s="288"/>
      <c r="B305" s="351" t="s">
        <v>704</v>
      </c>
      <c r="C305" s="388" t="str">
        <f>IF(OR(I305&lt;&gt;0,H305&lt;&gt;0),"x"," ")</f>
        <v xml:space="preserve"> </v>
      </c>
      <c r="D305" s="338"/>
      <c r="E305" s="358" t="str">
        <f>VLOOKUP($B305,DG!A:D,DG!$C$2,)</f>
        <v>Sắt góc L75 x75 x8</v>
      </c>
      <c r="F305" s="338" t="str">
        <f>VLOOKUP($B305,DG!A:D,DG!$D$2,)</f>
        <v>kg</v>
      </c>
      <c r="G305" s="357">
        <f>9.02*(2.4+4*0.07)</f>
        <v>24.173599999999997</v>
      </c>
      <c r="H305" s="360">
        <f t="shared" ref="H305:H308" si="18">H$304*$G305</f>
        <v>0</v>
      </c>
      <c r="I305" s="360"/>
      <c r="J305" s="360"/>
      <c r="K305" s="360"/>
      <c r="L305" s="360"/>
      <c r="M305" s="332"/>
      <c r="N305" s="340"/>
      <c r="O305" s="341"/>
    </row>
    <row r="306" spans="1:15" ht="16.2" outlineLevel="1">
      <c r="A306" s="288"/>
      <c r="B306" s="351" t="s">
        <v>705</v>
      </c>
      <c r="C306" s="388" t="str">
        <f>IF(OR(I306&lt;&gt;0,H306&lt;&gt;0),"x"," ")</f>
        <v xml:space="preserve"> </v>
      </c>
      <c r="D306" s="338"/>
      <c r="E306" s="358" t="str">
        <f>VLOOKUP($B306,DG!A:D,DG!$C$2,)&amp;" (chống 920)"</f>
        <v>Sắt góc L50 x50 x5 (chống 920)</v>
      </c>
      <c r="F306" s="338" t="str">
        <f>VLOOKUP($B306,DG!A:D,DG!$D$2,)</f>
        <v>kg</v>
      </c>
      <c r="G306" s="357">
        <f>3.77*0.92*2</f>
        <v>6.9368000000000007</v>
      </c>
      <c r="H306" s="360">
        <f t="shared" si="18"/>
        <v>0</v>
      </c>
      <c r="I306" s="360"/>
      <c r="J306" s="360"/>
      <c r="K306" s="360"/>
      <c r="L306" s="360"/>
      <c r="M306" s="332"/>
      <c r="N306" s="340"/>
      <c r="O306" s="341"/>
    </row>
    <row r="307" spans="1:15" ht="16.2" outlineLevel="1">
      <c r="A307" s="288"/>
      <c r="B307" s="351" t="s">
        <v>717</v>
      </c>
      <c r="C307" s="388" t="str">
        <f>IF(OR(I307&lt;&gt;0,H307&lt;&gt;0),"x"," ")</f>
        <v xml:space="preserve"> </v>
      </c>
      <c r="D307" s="338"/>
      <c r="E307" s="358" t="str">
        <f>VLOOKUP($B307,DG!A:D,DG!$C$2,)</f>
        <v>Boulon 16x300</v>
      </c>
      <c r="F307" s="338" t="str">
        <f>VLOOKUP($B307,DG!A:D,DG!$D$2,)</f>
        <v>bộ</v>
      </c>
      <c r="G307" s="359">
        <v>2</v>
      </c>
      <c r="H307" s="360">
        <f t="shared" si="18"/>
        <v>0</v>
      </c>
      <c r="I307" s="360"/>
      <c r="J307" s="360"/>
      <c r="K307" s="360"/>
      <c r="L307" s="360"/>
      <c r="M307" s="332"/>
      <c r="N307" s="340"/>
      <c r="O307" s="341"/>
    </row>
    <row r="308" spans="1:15" ht="16.2" outlineLevel="1">
      <c r="A308" s="288"/>
      <c r="B308" s="351" t="s">
        <v>708</v>
      </c>
      <c r="C308" s="388" t="str">
        <f>IF(OR(I308&lt;&gt;0,H308&lt;&gt;0),"x"," ")</f>
        <v xml:space="preserve"> </v>
      </c>
      <c r="D308" s="338"/>
      <c r="E308" s="358" t="str">
        <f>VLOOKUP($B308,DG!A:D,DG!$C$2,)</f>
        <v>Boulon 16x50</v>
      </c>
      <c r="F308" s="338" t="str">
        <f>VLOOKUP($B308,DG!A:D,DG!$D$2,)</f>
        <v>bộ</v>
      </c>
      <c r="G308" s="359">
        <v>2</v>
      </c>
      <c r="H308" s="360">
        <f t="shared" si="18"/>
        <v>0</v>
      </c>
      <c r="I308" s="360"/>
      <c r="J308" s="360"/>
      <c r="K308" s="360"/>
      <c r="L308" s="360"/>
      <c r="M308" s="332"/>
      <c r="N308" s="340"/>
      <c r="O308" s="341"/>
    </row>
    <row r="309" spans="1:15" ht="16.2" outlineLevel="1">
      <c r="A309" s="288"/>
      <c r="B309" s="351" t="s">
        <v>729</v>
      </c>
      <c r="C309" s="388" t="str">
        <f>IF(OR(I309&lt;&gt;0,H309&lt;&gt;0),"x"," ")</f>
        <v xml:space="preserve"> </v>
      </c>
      <c r="D309" s="338" t="str">
        <f>VLOOKUP($B309,DG!A:D,DG!$B$2,)</f>
        <v>05.6102</v>
      </c>
      <c r="E309" s="366" t="str">
        <f>VLOOKUP($B309,DG!A:D,DG!$C$2,)</f>
        <v>Lắp xà đỡ ≤ 50kg</v>
      </c>
      <c r="F309" s="338" t="str">
        <f>VLOOKUP($B309,DG!A:D,DG!$D$2,)</f>
        <v>bộ</v>
      </c>
      <c r="G309" s="359">
        <v>1</v>
      </c>
      <c r="H309" s="354"/>
      <c r="I309" s="354"/>
      <c r="J309" s="354"/>
      <c r="K309" s="354"/>
      <c r="L309" s="354"/>
      <c r="M309" s="332"/>
      <c r="N309" s="340"/>
      <c r="O309" s="341"/>
    </row>
    <row r="310" spans="1:15" ht="16.2" outlineLevel="1">
      <c r="A310" s="288"/>
      <c r="B310" s="351" t="s">
        <v>710</v>
      </c>
      <c r="C310" s="388" t="str">
        <f>IF(OR(I310&lt;&gt;0,H310&lt;&gt;0),"x"," ")</f>
        <v xml:space="preserve"> </v>
      </c>
      <c r="D310" s="338" t="str">
        <f>VLOOKUP($B310,DG!A:D,DG!$B$2,)</f>
        <v>02.1115</v>
      </c>
      <c r="E310" s="366" t="str">
        <f>VLOOKUP($B310,DG!A:D,DG!$C$2,)</f>
        <v>Bốc dỡ xà, thép thanh</v>
      </c>
      <c r="F310" s="338" t="str">
        <f>VLOOKUP($B310,DG!A:D,DG!$D$2,)</f>
        <v>tấn</v>
      </c>
      <c r="G310" s="353"/>
      <c r="H310" s="354"/>
      <c r="I310" s="354"/>
      <c r="J310" s="354"/>
      <c r="K310" s="354"/>
      <c r="L310" s="354"/>
      <c r="M310" s="332"/>
      <c r="N310" s="340"/>
      <c r="O310" s="341"/>
    </row>
    <row r="311" spans="1:15" ht="16.2" outlineLevel="1">
      <c r="A311" s="288"/>
      <c r="B311" s="356" t="s">
        <v>711</v>
      </c>
      <c r="C311" s="388" t="str">
        <f>IF(OR(I311&lt;&gt;0,H311&lt;&gt;0),"x"," ")</f>
        <v xml:space="preserve"> </v>
      </c>
      <c r="D311" s="338" t="str">
        <f>VLOOKUP($B311,DG!A:C,2,)</f>
        <v>02.1361</v>
      </c>
      <c r="E311" s="366" t="str">
        <f>VLOOKUP($B311,DG!A:C,3,)</f>
        <v>V/c xà vào vị trí (cư ly &lt;=100m)</v>
      </c>
      <c r="F311" s="338" t="str">
        <f>VLOOKUP($B311,DG!A:D,4,0)</f>
        <v>tấn</v>
      </c>
      <c r="G311" s="353"/>
      <c r="H311" s="354"/>
      <c r="I311" s="354"/>
      <c r="J311" s="354"/>
      <c r="K311" s="354"/>
      <c r="L311" s="354"/>
      <c r="M311" s="332"/>
      <c r="N311" s="340"/>
      <c r="O311" s="341"/>
    </row>
    <row r="312" spans="1:15" ht="16.2" outlineLevel="1">
      <c r="A312" s="288"/>
      <c r="B312" s="356" t="s">
        <v>447</v>
      </c>
      <c r="C312" s="388" t="str">
        <f>IF(OR(I312&lt;&gt;0,H312&lt;&gt;0),"x"," ")</f>
        <v xml:space="preserve"> </v>
      </c>
      <c r="D312" s="338" t="str">
        <f>VLOOKUP($B312,DG!A:C,2,)</f>
        <v>02.1482</v>
      </c>
      <c r="E312" s="366" t="str">
        <f>VLOOKUP($B312,DG!A:C,3,)</f>
        <v>V/c dụng cụ thi công vào vị trí (cự ly &lt;=100m)</v>
      </c>
      <c r="F312" s="338" t="str">
        <f>VLOOKUP($B312,DG!A:D,4,0)</f>
        <v>tấn</v>
      </c>
      <c r="G312" s="357"/>
      <c r="H312" s="354"/>
      <c r="I312" s="354"/>
      <c r="J312" s="354"/>
      <c r="K312" s="354"/>
      <c r="L312" s="354"/>
      <c r="M312" s="332"/>
      <c r="N312" s="340"/>
      <c r="O312" s="341"/>
    </row>
    <row r="313" spans="1:15" ht="16.2" outlineLevel="1">
      <c r="A313" s="342" t="s">
        <v>745</v>
      </c>
      <c r="B313" s="343" t="s">
        <v>745</v>
      </c>
      <c r="C313" s="388" t="str">
        <f>IF(OR(I313&lt;&gt;0,H313&lt;&gt;0),"x"," ")</f>
        <v xml:space="preserve"> </v>
      </c>
      <c r="D313" s="345"/>
      <c r="E313" s="346" t="s">
        <v>746</v>
      </c>
      <c r="F313" s="347" t="s">
        <v>285</v>
      </c>
      <c r="G313" s="348"/>
      <c r="H313" s="349">
        <f>IFERROR(HLOOKUP(B313,'BKT-ThuHoi'!$5:$183,179,0),0)</f>
        <v>0</v>
      </c>
      <c r="I313" s="350">
        <f>H313+J313-K313</f>
        <v>0</v>
      </c>
      <c r="J313" s="350"/>
      <c r="K313" s="350"/>
      <c r="L313" s="350"/>
      <c r="M313" s="332"/>
      <c r="N313" s="340"/>
      <c r="O313" s="341"/>
    </row>
    <row r="314" spans="1:15" ht="16.2" outlineLevel="1">
      <c r="A314" s="288"/>
      <c r="B314" s="351" t="s">
        <v>704</v>
      </c>
      <c r="C314" s="388" t="str">
        <f>IF(OR(I314&lt;&gt;0,H314&lt;&gt;0),"x"," ")</f>
        <v xml:space="preserve"> </v>
      </c>
      <c r="D314" s="338"/>
      <c r="E314" s="358" t="str">
        <f>VLOOKUP($B314,DG!A:D,DG!$C$2,)</f>
        <v>Sắt góc L75 x75 x8</v>
      </c>
      <c r="F314" s="338" t="str">
        <f>VLOOKUP($B314,DG!A:D,DG!$D$2,)</f>
        <v>kg</v>
      </c>
      <c r="G314" s="357">
        <f>9.02*(2.4+4*0.07)*2</f>
        <v>48.347199999999994</v>
      </c>
      <c r="H314" s="360">
        <f t="shared" ref="H314:H318" si="19">H$313*$G314</f>
        <v>0</v>
      </c>
      <c r="I314" s="360"/>
      <c r="J314" s="360"/>
      <c r="K314" s="360"/>
      <c r="L314" s="360"/>
      <c r="M314" s="332"/>
      <c r="N314" s="340"/>
      <c r="O314" s="341"/>
    </row>
    <row r="315" spans="1:15" ht="16.2" outlineLevel="1">
      <c r="A315" s="288"/>
      <c r="B315" s="351" t="s">
        <v>705</v>
      </c>
      <c r="C315" s="388" t="str">
        <f>IF(OR(I315&lt;&gt;0,H315&lt;&gt;0),"x"," ")</f>
        <v xml:space="preserve"> </v>
      </c>
      <c r="D315" s="338"/>
      <c r="E315" s="358" t="str">
        <f>VLOOKUP($B315,DG!A:D,DG!$C$2,)&amp;" (chống 920)"</f>
        <v>Sắt góc L50 x50 x5 (chống 920)</v>
      </c>
      <c r="F315" s="338" t="str">
        <f>VLOOKUP($B315,DG!A:D,DG!$D$2,)</f>
        <v>kg</v>
      </c>
      <c r="G315" s="357">
        <f>3.77*0.92*4</f>
        <v>13.873600000000001</v>
      </c>
      <c r="H315" s="360">
        <f t="shared" si="19"/>
        <v>0</v>
      </c>
      <c r="I315" s="360"/>
      <c r="J315" s="360"/>
      <c r="K315" s="360"/>
      <c r="L315" s="360"/>
      <c r="M315" s="332"/>
      <c r="N315" s="340"/>
      <c r="O315" s="341"/>
    </row>
    <row r="316" spans="1:15" ht="16.2" outlineLevel="1">
      <c r="A316" s="288"/>
      <c r="B316" s="351" t="s">
        <v>707</v>
      </c>
      <c r="C316" s="388" t="str">
        <f>IF(OR(I316&lt;&gt;0,H316&lt;&gt;0),"x"," ")</f>
        <v xml:space="preserve"> </v>
      </c>
      <c r="D316" s="338"/>
      <c r="E316" s="358" t="str">
        <f>VLOOKUP($B316,DG!A:D,DG!$C$2,)</f>
        <v>Boulon 16x250</v>
      </c>
      <c r="F316" s="338" t="str">
        <f>VLOOKUP($B316,DG!A:D,DG!$D$2,)</f>
        <v>bộ</v>
      </c>
      <c r="G316" s="359">
        <v>1</v>
      </c>
      <c r="H316" s="360">
        <f t="shared" si="19"/>
        <v>0</v>
      </c>
      <c r="I316" s="360"/>
      <c r="J316" s="360"/>
      <c r="K316" s="360"/>
      <c r="L316" s="360"/>
      <c r="M316" s="332"/>
      <c r="N316" s="340"/>
      <c r="O316" s="341"/>
    </row>
    <row r="317" spans="1:15" ht="16.2" outlineLevel="1">
      <c r="A317" s="288"/>
      <c r="B317" s="351" t="s">
        <v>717</v>
      </c>
      <c r="C317" s="388" t="str">
        <f>IF(OR(I317&lt;&gt;0,H317&lt;&gt;0),"x"," ")</f>
        <v xml:space="preserve"> </v>
      </c>
      <c r="D317" s="338"/>
      <c r="E317" s="358" t="str">
        <f>VLOOKUP($B317,DG!A:D,DG!$C$2,)</f>
        <v>Boulon 16x300</v>
      </c>
      <c r="F317" s="338" t="str">
        <f>VLOOKUP($B317,DG!A:D,DG!$D$2,)</f>
        <v>bộ</v>
      </c>
      <c r="G317" s="359">
        <v>1</v>
      </c>
      <c r="H317" s="360">
        <f t="shared" si="19"/>
        <v>0</v>
      </c>
      <c r="I317" s="360"/>
      <c r="J317" s="360"/>
      <c r="K317" s="360"/>
      <c r="L317" s="360"/>
      <c r="M317" s="332"/>
      <c r="N317" s="340"/>
      <c r="O317" s="341"/>
    </row>
    <row r="318" spans="1:15" ht="16.2" outlineLevel="1">
      <c r="A318" s="288"/>
      <c r="B318" s="351" t="s">
        <v>718</v>
      </c>
      <c r="C318" s="388" t="str">
        <f>IF(OR(I318&lt;&gt;0,H318&lt;&gt;0),"x"," ")</f>
        <v xml:space="preserve"> </v>
      </c>
      <c r="D318" s="338"/>
      <c r="E318" s="358" t="str">
        <f>VLOOKUP($B318,DG!A:D,DG!$C$2,)</f>
        <v>Boulon 16x300VRS</v>
      </c>
      <c r="F318" s="338" t="str">
        <f>VLOOKUP($B318,DG!A:D,DG!$D$2,)</f>
        <v>bộ</v>
      </c>
      <c r="G318" s="359">
        <v>4</v>
      </c>
      <c r="H318" s="360">
        <f t="shared" si="19"/>
        <v>0</v>
      </c>
      <c r="I318" s="360"/>
      <c r="J318" s="360"/>
      <c r="K318" s="360"/>
      <c r="L318" s="360"/>
      <c r="M318" s="332"/>
      <c r="N318" s="340"/>
      <c r="O318" s="341"/>
    </row>
    <row r="319" spans="1:15" ht="16.2" outlineLevel="1">
      <c r="A319" s="288"/>
      <c r="B319" s="351" t="s">
        <v>719</v>
      </c>
      <c r="C319" s="388" t="str">
        <f>IF(OR(I319&lt;&gt;0,H319&lt;&gt;0),"x"," ")</f>
        <v xml:space="preserve"> </v>
      </c>
      <c r="D319" s="396" t="str">
        <f>VLOOKUP($B319,DG!A:D,DG!$B$2,)</f>
        <v>05.6203</v>
      </c>
      <c r="E319" s="366" t="str">
        <f>VLOOKUP($B319,DG!A:D,DG!$C$2,)</f>
        <v>Lắp xà néo ≤ 100kg</v>
      </c>
      <c r="F319" s="338" t="str">
        <f>VLOOKUP($B319,DG!A:D,DG!$D$2,)</f>
        <v>bộ</v>
      </c>
      <c r="G319" s="359">
        <v>1</v>
      </c>
      <c r="H319" s="354"/>
      <c r="I319" s="354"/>
      <c r="J319" s="354"/>
      <c r="K319" s="354"/>
      <c r="L319" s="354"/>
      <c r="M319" s="332"/>
      <c r="N319" s="340"/>
      <c r="O319" s="341"/>
    </row>
    <row r="320" spans="1:15" ht="16.2" outlineLevel="1">
      <c r="A320" s="288"/>
      <c r="B320" s="351" t="s">
        <v>710</v>
      </c>
      <c r="C320" s="388" t="str">
        <f>IF(OR(I320&lt;&gt;0,H320&lt;&gt;0),"x"," ")</f>
        <v xml:space="preserve"> </v>
      </c>
      <c r="D320" s="338" t="str">
        <f>VLOOKUP($B320,DG!A:D,DG!$B$2,)</f>
        <v>02.1115</v>
      </c>
      <c r="E320" s="366" t="str">
        <f>VLOOKUP($B320,DG!A:D,DG!$C$2,)</f>
        <v>Bốc dỡ xà, thép thanh</v>
      </c>
      <c r="F320" s="338" t="str">
        <f>VLOOKUP($B320,DG!A:D,DG!$D$2,)</f>
        <v>tấn</v>
      </c>
      <c r="G320" s="353">
        <f>G321</f>
        <v>0</v>
      </c>
      <c r="H320" s="354"/>
      <c r="I320" s="354"/>
      <c r="J320" s="354"/>
      <c r="K320" s="354"/>
      <c r="L320" s="354"/>
      <c r="M320" s="332"/>
      <c r="N320" s="340"/>
      <c r="O320" s="341"/>
    </row>
    <row r="321" spans="1:15" ht="16.2" outlineLevel="1">
      <c r="A321" s="288"/>
      <c r="B321" s="356" t="s">
        <v>711</v>
      </c>
      <c r="C321" s="388" t="str">
        <f>IF(OR(I321&lt;&gt;0,H321&lt;&gt;0),"x"," ")</f>
        <v xml:space="preserve"> </v>
      </c>
      <c r="D321" s="338" t="str">
        <f>VLOOKUP($B321,DG!A:C,2,)</f>
        <v>02.1361</v>
      </c>
      <c r="E321" s="366" t="str">
        <f>VLOOKUP($B321,DG!A:C,3,)</f>
        <v>V/c xà vào vị trí (cư ly &lt;=100m)</v>
      </c>
      <c r="F321" s="338" t="str">
        <f>VLOOKUP($B321,DG!A:D,4,0)</f>
        <v>tấn</v>
      </c>
      <c r="G321" s="353">
        <f>ROUND(SUM(G314:G315)*1.05/1000,3)*0</f>
        <v>0</v>
      </c>
      <c r="H321" s="354"/>
      <c r="I321" s="354"/>
      <c r="J321" s="354"/>
      <c r="K321" s="354"/>
      <c r="L321" s="354"/>
      <c r="M321" s="332"/>
      <c r="N321" s="340"/>
      <c r="O321" s="341"/>
    </row>
    <row r="322" spans="1:15" ht="16.2" outlineLevel="1">
      <c r="A322" s="288"/>
      <c r="B322" s="356" t="s">
        <v>447</v>
      </c>
      <c r="C322" s="388" t="str">
        <f>IF(OR(I322&lt;&gt;0,H322&lt;&gt;0),"x"," ")</f>
        <v xml:space="preserve"> </v>
      </c>
      <c r="D322" s="338" t="str">
        <f>VLOOKUP($B322,DG!A:C,2,)</f>
        <v>02.1482</v>
      </c>
      <c r="E322" s="366" t="str">
        <f>VLOOKUP($B322,DG!A:C,3,)</f>
        <v>V/c dụng cụ thi công vào vị trí (cự ly &lt;=100m)</v>
      </c>
      <c r="F322" s="338" t="str">
        <f>VLOOKUP($B322,DG!A:D,4,0)</f>
        <v>tấn</v>
      </c>
      <c r="G322" s="357">
        <f>0.05*0</f>
        <v>0</v>
      </c>
      <c r="H322" s="354"/>
      <c r="I322" s="354"/>
      <c r="J322" s="354"/>
      <c r="K322" s="354"/>
      <c r="L322" s="354"/>
      <c r="M322" s="332"/>
      <c r="N322" s="340"/>
      <c r="O322" s="341"/>
    </row>
    <row r="323" spans="1:15" ht="16.2" outlineLevel="1">
      <c r="A323" s="342" t="s">
        <v>747</v>
      </c>
      <c r="B323" s="343" t="s">
        <v>747</v>
      </c>
      <c r="C323" s="388" t="str">
        <f>IF(OR(I323&lt;&gt;0,H323&lt;&gt;0),"x"," ")</f>
        <v xml:space="preserve"> </v>
      </c>
      <c r="D323" s="345"/>
      <c r="E323" s="346" t="s">
        <v>748</v>
      </c>
      <c r="F323" s="347" t="s">
        <v>285</v>
      </c>
      <c r="G323" s="348"/>
      <c r="H323" s="349">
        <f>IFERROR(HLOOKUP(B323,'BKT-ThuHoi'!$5:$183,179,0),0)</f>
        <v>0</v>
      </c>
      <c r="I323" s="350">
        <f>H323+J323-K323</f>
        <v>0</v>
      </c>
      <c r="J323" s="350"/>
      <c r="K323" s="350"/>
      <c r="L323" s="350"/>
      <c r="M323" s="332"/>
      <c r="N323" s="340"/>
      <c r="O323" s="341"/>
    </row>
    <row r="324" spans="1:15" ht="16.2" outlineLevel="1">
      <c r="A324" s="288"/>
      <c r="B324" s="351" t="s">
        <v>742</v>
      </c>
      <c r="C324" s="388" t="str">
        <f>IF(OR(I324&lt;&gt;0,H324&lt;&gt;0),"x"," ")</f>
        <v xml:space="preserve"> </v>
      </c>
      <c r="D324" s="338" t="str">
        <f>VLOOKUP($B324,DG!A:D,DG!$B$2,)</f>
        <v>05.6203</v>
      </c>
      <c r="E324" s="366" t="str">
        <f>VLOOKUP($B324,DG!A:D,DG!$C$2,)</f>
        <v>Lắp xà néo ≤ 100kg</v>
      </c>
      <c r="F324" s="338" t="str">
        <f>VLOOKUP($B324,DG!A:D,DG!$D$2,)</f>
        <v>bộ</v>
      </c>
      <c r="G324" s="359">
        <v>1</v>
      </c>
      <c r="H324" s="354"/>
      <c r="I324" s="354"/>
      <c r="J324" s="354"/>
      <c r="K324" s="354"/>
      <c r="L324" s="354"/>
      <c r="M324" s="332"/>
      <c r="N324" s="340"/>
      <c r="O324" s="341"/>
    </row>
    <row r="325" spans="1:15" ht="16.2" outlineLevel="1">
      <c r="A325" s="288"/>
      <c r="B325" s="351" t="s">
        <v>710</v>
      </c>
      <c r="C325" s="388" t="str">
        <f>IF(OR(I325&lt;&gt;0,H325&lt;&gt;0),"x"," ")</f>
        <v xml:space="preserve"> </v>
      </c>
      <c r="D325" s="338" t="str">
        <f>VLOOKUP($B325,DG!A:D,DG!$B$2,)</f>
        <v>02.1115</v>
      </c>
      <c r="E325" s="366" t="str">
        <f>VLOOKUP($B325,DG!A:D,DG!$C$2,)</f>
        <v>Bốc dỡ xà, thép thanh</v>
      </c>
      <c r="F325" s="338" t="str">
        <f>VLOOKUP($B325,DG!A:D,DG!$D$2,)</f>
        <v>tấn</v>
      </c>
      <c r="G325" s="353">
        <v>5.0999999999999997E-2</v>
      </c>
      <c r="H325" s="354"/>
      <c r="I325" s="354"/>
      <c r="J325" s="354"/>
      <c r="K325" s="354"/>
      <c r="L325" s="354"/>
      <c r="M325" s="332"/>
      <c r="N325" s="340"/>
      <c r="O325" s="341"/>
    </row>
    <row r="326" spans="1:15" ht="16.2" outlineLevel="1">
      <c r="A326" s="288"/>
      <c r="B326" s="356" t="s">
        <v>711</v>
      </c>
      <c r="C326" s="388" t="str">
        <f>IF(OR(I326&lt;&gt;0,H326&lt;&gt;0),"x"," ")</f>
        <v xml:space="preserve"> </v>
      </c>
      <c r="D326" s="338" t="str">
        <f>VLOOKUP($B326,DG!A:C,2,)</f>
        <v>02.1361</v>
      </c>
      <c r="E326" s="366" t="str">
        <f>VLOOKUP($B326,DG!A:C,3,)</f>
        <v>V/c xà vào vị trí (cư ly &lt;=100m)</v>
      </c>
      <c r="F326" s="338" t="str">
        <f>VLOOKUP($B326,DG!A:D,4,0)</f>
        <v>tấn</v>
      </c>
      <c r="G326" s="353">
        <v>5.0999999999999997E-2</v>
      </c>
      <c r="H326" s="354"/>
      <c r="I326" s="354"/>
      <c r="J326" s="354"/>
      <c r="K326" s="354"/>
      <c r="L326" s="354"/>
      <c r="M326" s="332"/>
      <c r="N326" s="340"/>
      <c r="O326" s="341"/>
    </row>
    <row r="327" spans="1:15" ht="16.2" outlineLevel="1">
      <c r="A327" s="288"/>
      <c r="B327" s="356" t="s">
        <v>447</v>
      </c>
      <c r="C327" s="388" t="str">
        <f>IF(OR(I327&lt;&gt;0,H327&lt;&gt;0),"x"," ")</f>
        <v xml:space="preserve"> </v>
      </c>
      <c r="D327" s="338" t="str">
        <f>VLOOKUP($B327,DG!A:C,2,)</f>
        <v>02.1482</v>
      </c>
      <c r="E327" s="366" t="str">
        <f>VLOOKUP($B327,DG!A:C,3,)</f>
        <v>V/c dụng cụ thi công vào vị trí (cự ly &lt;=100m)</v>
      </c>
      <c r="F327" s="338" t="str">
        <f>VLOOKUP($B327,DG!A:D,4,0)</f>
        <v>tấn</v>
      </c>
      <c r="G327" s="357"/>
      <c r="H327" s="354"/>
      <c r="I327" s="354"/>
      <c r="J327" s="354"/>
      <c r="K327" s="354"/>
      <c r="L327" s="354"/>
      <c r="M327" s="332"/>
      <c r="N327" s="340"/>
      <c r="O327" s="341"/>
    </row>
    <row r="328" spans="1:15" ht="16.2" outlineLevel="1">
      <c r="A328" s="342" t="s">
        <v>749</v>
      </c>
      <c r="B328" s="343" t="s">
        <v>749</v>
      </c>
      <c r="C328" s="388" t="str">
        <f>IF(OR(I328&lt;&gt;0,H328&lt;&gt;0),"x"," ")</f>
        <v xml:space="preserve"> </v>
      </c>
      <c r="D328" s="345"/>
      <c r="E328" s="346" t="s">
        <v>750</v>
      </c>
      <c r="F328" s="347" t="s">
        <v>285</v>
      </c>
      <c r="G328" s="348"/>
      <c r="H328" s="349">
        <f>IFERROR(HLOOKUP(B328,'BKT-ThuHoi'!$5:$183,179,0),0)</f>
        <v>0</v>
      </c>
      <c r="I328" s="350">
        <f>H328+J328-K328</f>
        <v>0</v>
      </c>
      <c r="J328" s="350"/>
      <c r="K328" s="350"/>
      <c r="L328" s="350"/>
      <c r="M328" s="332"/>
      <c r="N328" s="340"/>
      <c r="O328" s="341"/>
    </row>
    <row r="329" spans="1:15" ht="16.2" outlineLevel="1">
      <c r="A329" s="288"/>
      <c r="B329" s="351" t="s">
        <v>704</v>
      </c>
      <c r="C329" s="388" t="str">
        <f>IF(OR(I329&lt;&gt;0,H329&lt;&gt;0),"x"," ")</f>
        <v xml:space="preserve"> </v>
      </c>
      <c r="D329" s="338"/>
      <c r="E329" s="358" t="str">
        <f>VLOOKUP($B329,DG!A:D,DG!$C$2,)</f>
        <v>Sắt góc L75 x75 x8</v>
      </c>
      <c r="F329" s="338" t="str">
        <f>VLOOKUP($B329,DG!A:D,DG!$D$2,)</f>
        <v>kg</v>
      </c>
      <c r="G329" s="357">
        <f>9.42*(0.8+0.07)</f>
        <v>8.1954000000000011</v>
      </c>
      <c r="H329" s="360">
        <f>H$328*$G329</f>
        <v>0</v>
      </c>
      <c r="I329" s="360"/>
      <c r="J329" s="360"/>
      <c r="K329" s="360"/>
      <c r="L329" s="360"/>
      <c r="M329" s="332"/>
      <c r="N329" s="340"/>
      <c r="O329" s="341"/>
    </row>
    <row r="330" spans="1:15" ht="16.2" outlineLevel="1">
      <c r="A330" s="288"/>
      <c r="B330" s="351" t="s">
        <v>705</v>
      </c>
      <c r="C330" s="388" t="str">
        <f>IF(OR(I330&lt;&gt;0,H330&lt;&gt;0),"x"," ")</f>
        <v xml:space="preserve"> </v>
      </c>
      <c r="D330" s="338"/>
      <c r="E330" s="358" t="str">
        <f>VLOOKUP($B330,DG!A:D,DG!$C$2,)</f>
        <v>Sắt góc L50 x50 x5</v>
      </c>
      <c r="F330" s="338" t="str">
        <f>VLOOKUP($B330,DG!A:D,DG!$D$2,)</f>
        <v>kg</v>
      </c>
      <c r="G330" s="357">
        <f>3.77*0.81</f>
        <v>3.0537000000000001</v>
      </c>
      <c r="H330" s="360">
        <f>H$328*$G330</f>
        <v>0</v>
      </c>
      <c r="I330" s="360"/>
      <c r="J330" s="360"/>
      <c r="K330" s="360"/>
      <c r="L330" s="360"/>
      <c r="M330" s="332"/>
      <c r="N330" s="340"/>
      <c r="O330" s="341"/>
    </row>
    <row r="331" spans="1:15" ht="16.2" outlineLevel="1">
      <c r="A331" s="288"/>
      <c r="B331" s="351" t="s">
        <v>707</v>
      </c>
      <c r="C331" s="388" t="str">
        <f>IF(OR(I331&lt;&gt;0,H331&lt;&gt;0),"x"," ")</f>
        <v xml:space="preserve"> </v>
      </c>
      <c r="D331" s="338"/>
      <c r="E331" s="358" t="str">
        <f>VLOOKUP($B331,DG!A:D,DG!$C$2,)</f>
        <v>Boulon 16x250</v>
      </c>
      <c r="F331" s="338" t="str">
        <f>VLOOKUP($B331,DG!A:D,DG!$D$2,)</f>
        <v>bộ</v>
      </c>
      <c r="G331" s="359">
        <v>2</v>
      </c>
      <c r="H331" s="360">
        <f>H$328*$G331</f>
        <v>0</v>
      </c>
      <c r="I331" s="360"/>
      <c r="J331" s="360"/>
      <c r="K331" s="360"/>
      <c r="L331" s="360"/>
      <c r="M331" s="332"/>
      <c r="N331" s="340"/>
      <c r="O331" s="341"/>
    </row>
    <row r="332" spans="1:15" ht="16.2" outlineLevel="1">
      <c r="A332" s="288"/>
      <c r="B332" s="351" t="s">
        <v>708</v>
      </c>
      <c r="C332" s="388" t="str">
        <f>IF(OR(I332&lt;&gt;0,H332&lt;&gt;0),"x"," ")</f>
        <v xml:space="preserve"> </v>
      </c>
      <c r="D332" s="338"/>
      <c r="E332" s="358" t="str">
        <f>VLOOKUP($B332,DG!A:D,DG!$C$2,)</f>
        <v>Boulon 16x50</v>
      </c>
      <c r="F332" s="338" t="str">
        <f>VLOOKUP($B332,DG!A:D,DG!$D$2,)</f>
        <v>bộ</v>
      </c>
      <c r="G332" s="359">
        <v>1</v>
      </c>
      <c r="H332" s="360">
        <f>H$328*$G332</f>
        <v>0</v>
      </c>
      <c r="I332" s="360"/>
      <c r="J332" s="360"/>
      <c r="K332" s="360"/>
      <c r="L332" s="360"/>
      <c r="M332" s="332"/>
      <c r="N332" s="340"/>
      <c r="O332" s="341"/>
    </row>
    <row r="333" spans="1:15" ht="16.2" outlineLevel="1">
      <c r="A333" s="288"/>
      <c r="B333" s="400" t="s">
        <v>709</v>
      </c>
      <c r="C333" s="388" t="str">
        <f>IF(OR(I333&lt;&gt;0,H333&lt;&gt;0),"x"," ")</f>
        <v xml:space="preserve"> </v>
      </c>
      <c r="D333" s="338" t="str">
        <f>VLOOKUP($B333,DG!A:D,DG!$B$2,)</f>
        <v>05.6401</v>
      </c>
      <c r="E333" s="366" t="str">
        <f>VLOOKUP($B333,DG!A:D,DG!$C$2,)</f>
        <v>Lắp xà đỡ ≤ 25kg</v>
      </c>
      <c r="F333" s="338" t="str">
        <f>VLOOKUP($B333,DG!A:D,DG!$D$2,)</f>
        <v>bộ</v>
      </c>
      <c r="G333" s="359">
        <v>1</v>
      </c>
      <c r="H333" s="354"/>
      <c r="I333" s="354"/>
      <c r="J333" s="354"/>
      <c r="K333" s="354"/>
      <c r="L333" s="354"/>
      <c r="M333" s="332"/>
      <c r="N333" s="340"/>
      <c r="O333" s="341"/>
    </row>
    <row r="334" spans="1:15" ht="16.2" outlineLevel="1">
      <c r="A334" s="288"/>
      <c r="B334" s="351" t="s">
        <v>710</v>
      </c>
      <c r="C334" s="388" t="str">
        <f>IF(OR(I334&lt;&gt;0,H334&lt;&gt;0),"x"," ")</f>
        <v xml:space="preserve"> </v>
      </c>
      <c r="D334" s="338" t="str">
        <f>VLOOKUP($B334,DG!A:D,DG!$B$2,)</f>
        <v>02.1115</v>
      </c>
      <c r="E334" s="366" t="str">
        <f>VLOOKUP($B334,DG!A:D,DG!$C$2,)</f>
        <v>Bốc dỡ xà, thép thanh</v>
      </c>
      <c r="F334" s="338" t="str">
        <f>VLOOKUP($B334,DG!A:D,DG!$D$2,)</f>
        <v>tấn</v>
      </c>
      <c r="G334" s="353"/>
      <c r="H334" s="354"/>
      <c r="I334" s="354"/>
      <c r="J334" s="354"/>
      <c r="K334" s="354"/>
      <c r="L334" s="354"/>
      <c r="M334" s="332"/>
      <c r="N334" s="340"/>
      <c r="O334" s="341"/>
    </row>
    <row r="335" spans="1:15" ht="16.2" outlineLevel="1">
      <c r="A335" s="288"/>
      <c r="B335" s="356" t="s">
        <v>711</v>
      </c>
      <c r="C335" s="388" t="str">
        <f>IF(OR(I335&lt;&gt;0,H335&lt;&gt;0),"x"," ")</f>
        <v xml:space="preserve"> </v>
      </c>
      <c r="D335" s="338" t="str">
        <f>VLOOKUP($B335,DG!A:C,2,)</f>
        <v>02.1361</v>
      </c>
      <c r="E335" s="366" t="str">
        <f>VLOOKUP($B335,DG!A:C,3,)</f>
        <v>V/c xà vào vị trí (cư ly &lt;=100m)</v>
      </c>
      <c r="F335" s="338" t="str">
        <f>VLOOKUP($B335,DG!A:D,4,0)</f>
        <v>tấn</v>
      </c>
      <c r="G335" s="353"/>
      <c r="H335" s="354"/>
      <c r="I335" s="354"/>
      <c r="J335" s="354"/>
      <c r="K335" s="354"/>
      <c r="L335" s="354"/>
      <c r="M335" s="332"/>
      <c r="N335" s="340"/>
      <c r="O335" s="341"/>
    </row>
    <row r="336" spans="1:15" ht="16.2" outlineLevel="1">
      <c r="A336" s="288"/>
      <c r="B336" s="356" t="s">
        <v>447</v>
      </c>
      <c r="C336" s="388" t="str">
        <f>IF(OR(I336&lt;&gt;0,H336&lt;&gt;0),"x"," ")</f>
        <v xml:space="preserve"> </v>
      </c>
      <c r="D336" s="338" t="str">
        <f>VLOOKUP($B336,DG!A:C,2,)</f>
        <v>02.1482</v>
      </c>
      <c r="E336" s="366" t="str">
        <f>VLOOKUP($B336,DG!A:C,3,)</f>
        <v>V/c dụng cụ thi công vào vị trí (cự ly &lt;=100m)</v>
      </c>
      <c r="F336" s="338" t="str">
        <f>VLOOKUP($B336,DG!A:D,4,0)</f>
        <v>tấn</v>
      </c>
      <c r="G336" s="357"/>
      <c r="H336" s="354"/>
      <c r="I336" s="354"/>
      <c r="J336" s="354"/>
      <c r="K336" s="354"/>
      <c r="L336" s="354"/>
      <c r="M336" s="332"/>
      <c r="N336" s="340"/>
      <c r="O336" s="341"/>
    </row>
    <row r="337" spans="1:15" ht="16.2" outlineLevel="1">
      <c r="A337" s="342" t="s">
        <v>751</v>
      </c>
      <c r="B337" s="343" t="s">
        <v>751</v>
      </c>
      <c r="C337" s="388" t="str">
        <f>IF(OR(I337&lt;&gt;0,H337&lt;&gt;0),"x"," ")</f>
        <v xml:space="preserve"> </v>
      </c>
      <c r="D337" s="345"/>
      <c r="E337" s="346" t="s">
        <v>752</v>
      </c>
      <c r="F337" s="347" t="s">
        <v>285</v>
      </c>
      <c r="G337" s="348"/>
      <c r="H337" s="349">
        <f>IFERROR(HLOOKUP(B337,'BKT-ThuHoi'!$5:$183,179,0),0)</f>
        <v>0</v>
      </c>
      <c r="I337" s="350">
        <f>H337+J337-K337</f>
        <v>0</v>
      </c>
      <c r="J337" s="350"/>
      <c r="K337" s="350"/>
      <c r="L337" s="350"/>
      <c r="M337" s="332"/>
      <c r="N337" s="340"/>
      <c r="O337" s="341"/>
    </row>
    <row r="338" spans="1:15" ht="16.2" outlineLevel="1">
      <c r="A338" s="288"/>
      <c r="B338" s="351" t="s">
        <v>704</v>
      </c>
      <c r="C338" s="388" t="str">
        <f>IF(OR(I338&lt;&gt;0,H338&lt;&gt;0),"x"," ")</f>
        <v xml:space="preserve"> </v>
      </c>
      <c r="D338" s="338"/>
      <c r="E338" s="358" t="str">
        <f>VLOOKUP($B338,DG!A:D,DG!$C$2,)</f>
        <v>Sắt góc L75 x75 x8</v>
      </c>
      <c r="F338" s="338" t="str">
        <f>VLOOKUP($B338,DG!A:D,DG!$D$2,)</f>
        <v>kg</v>
      </c>
      <c r="G338" s="357">
        <f>9.02*(0.8+0.07)*2</f>
        <v>15.694800000000001</v>
      </c>
      <c r="H338" s="360">
        <f>H$337*$G338</f>
        <v>0</v>
      </c>
      <c r="I338" s="360"/>
      <c r="J338" s="360"/>
      <c r="K338" s="360"/>
      <c r="L338" s="360"/>
      <c r="M338" s="332"/>
      <c r="N338" s="340"/>
      <c r="O338" s="341"/>
    </row>
    <row r="339" spans="1:15" ht="16.2" outlineLevel="1">
      <c r="A339" s="288"/>
      <c r="B339" s="351" t="s">
        <v>705</v>
      </c>
      <c r="C339" s="388" t="str">
        <f>IF(OR(I339&lt;&gt;0,H339&lt;&gt;0),"x"," ")</f>
        <v xml:space="preserve"> </v>
      </c>
      <c r="D339" s="338"/>
      <c r="E339" s="358" t="str">
        <f>VLOOKUP($B339,DG!A:D,DG!$C$2,)</f>
        <v>Sắt góc L50 x50 x5</v>
      </c>
      <c r="F339" s="338" t="str">
        <f>VLOOKUP($B339,DG!A:D,DG!$D$2,)</f>
        <v>kg</v>
      </c>
      <c r="G339" s="357">
        <f>3.77*0.81*2</f>
        <v>6.1074000000000002</v>
      </c>
      <c r="H339" s="360">
        <f>H$337*$G339</f>
        <v>0</v>
      </c>
      <c r="I339" s="360"/>
      <c r="J339" s="360"/>
      <c r="K339" s="360"/>
      <c r="L339" s="360"/>
      <c r="M339" s="332"/>
      <c r="N339" s="340"/>
      <c r="O339" s="341"/>
    </row>
    <row r="340" spans="1:15" ht="16.2" outlineLevel="1">
      <c r="A340" s="288"/>
      <c r="B340" s="351" t="s">
        <v>753</v>
      </c>
      <c r="C340" s="388" t="str">
        <f>IF(OR(I340&lt;&gt;0,H340&lt;&gt;0),"x"," ")</f>
        <v xml:space="preserve"> </v>
      </c>
      <c r="D340" s="338"/>
      <c r="E340" s="358" t="str">
        <f>VLOOKUP($B340,DG!A:D,DG!$C$2,)</f>
        <v>Boulon 16x400</v>
      </c>
      <c r="F340" s="338" t="str">
        <f>VLOOKUP($B340,DG!A:D,DG!$D$2,)</f>
        <v>bộ</v>
      </c>
      <c r="G340" s="359">
        <v>2</v>
      </c>
      <c r="H340" s="360">
        <f>H$337*$G340</f>
        <v>0</v>
      </c>
      <c r="I340" s="360"/>
      <c r="J340" s="360"/>
      <c r="K340" s="360"/>
      <c r="L340" s="360"/>
      <c r="M340" s="332"/>
      <c r="N340" s="340"/>
      <c r="O340" s="341"/>
    </row>
    <row r="341" spans="1:15" ht="16.2" outlineLevel="1">
      <c r="A341" s="288"/>
      <c r="B341" s="351" t="s">
        <v>754</v>
      </c>
      <c r="C341" s="388" t="str">
        <f>IF(OR(I341&lt;&gt;0,H341&lt;&gt;0),"x"," ")</f>
        <v xml:space="preserve"> </v>
      </c>
      <c r="D341" s="338"/>
      <c r="E341" s="358" t="str">
        <f>VLOOKUP($B341,DG!A:D,DG!$C$2,)</f>
        <v>Boulon 16x400VRS+ 4 long đền vuông D18-50x50x3/Zn</v>
      </c>
      <c r="F341" s="338" t="str">
        <f>VLOOKUP($B341,DG!A:D,DG!$D$2,)</f>
        <v>bộ</v>
      </c>
      <c r="G341" s="359">
        <v>1</v>
      </c>
      <c r="H341" s="360">
        <f>H$337*$G341</f>
        <v>0</v>
      </c>
      <c r="I341" s="360"/>
      <c r="J341" s="360"/>
      <c r="K341" s="360"/>
      <c r="L341" s="360"/>
      <c r="M341" s="332"/>
      <c r="N341" s="340"/>
      <c r="O341" s="341"/>
    </row>
    <row r="342" spans="1:15" ht="16.2" outlineLevel="1">
      <c r="A342" s="288"/>
      <c r="B342" s="351" t="s">
        <v>708</v>
      </c>
      <c r="C342" s="388" t="str">
        <f>IF(OR(I342&lt;&gt;0,H342&lt;&gt;0),"x"," ")</f>
        <v xml:space="preserve"> </v>
      </c>
      <c r="D342" s="338"/>
      <c r="E342" s="358" t="str">
        <f>VLOOKUP($B342,DG!A:D,DG!$C$2,)</f>
        <v>Boulon 16x50</v>
      </c>
      <c r="F342" s="338" t="str">
        <f>VLOOKUP($B342,DG!A:D,DG!$D$2,)</f>
        <v>bộ</v>
      </c>
      <c r="G342" s="359">
        <v>2</v>
      </c>
      <c r="H342" s="360">
        <f>H$337*$G342</f>
        <v>0</v>
      </c>
      <c r="I342" s="360"/>
      <c r="J342" s="360"/>
      <c r="K342" s="360"/>
      <c r="L342" s="360"/>
      <c r="M342" s="332"/>
      <c r="N342" s="340"/>
      <c r="O342" s="341"/>
    </row>
    <row r="343" spans="1:15" ht="16.2" outlineLevel="1">
      <c r="A343" s="288"/>
      <c r="B343" s="400" t="s">
        <v>755</v>
      </c>
      <c r="C343" s="388" t="str">
        <f>IF(OR(I343&lt;&gt;0,H343&lt;&gt;0),"x"," ")</f>
        <v xml:space="preserve"> </v>
      </c>
      <c r="D343" s="338" t="str">
        <f>VLOOKUP($B343,DG!A:D,DG!$B$2,)</f>
        <v>05.6201</v>
      </c>
      <c r="E343" s="366" t="str">
        <f>VLOOKUP($B343,DG!A:D,DG!$C$2,)</f>
        <v>Lắp xà néo ≤ 25kg</v>
      </c>
      <c r="F343" s="338" t="str">
        <f>VLOOKUP($B343,DG!A:D,DG!$D$2,)</f>
        <v>bộ</v>
      </c>
      <c r="G343" s="359">
        <v>1</v>
      </c>
      <c r="H343" s="354"/>
      <c r="I343" s="354"/>
      <c r="J343" s="354"/>
      <c r="K343" s="354"/>
      <c r="L343" s="354"/>
      <c r="M343" s="332"/>
      <c r="N343" s="340"/>
      <c r="O343" s="341"/>
    </row>
    <row r="344" spans="1:15" ht="16.2" outlineLevel="1">
      <c r="A344" s="288"/>
      <c r="B344" s="351" t="s">
        <v>710</v>
      </c>
      <c r="C344" s="388" t="str">
        <f>IF(OR(I344&lt;&gt;0,H344&lt;&gt;0),"x"," ")</f>
        <v xml:space="preserve"> </v>
      </c>
      <c r="D344" s="338" t="str">
        <f>VLOOKUP($B344,DG!A:D,DG!$B$2,)</f>
        <v>02.1115</v>
      </c>
      <c r="E344" s="366" t="str">
        <f>VLOOKUP($B344,DG!A:D,DG!$C$2,)</f>
        <v>Bốc dỡ xà, thép thanh</v>
      </c>
      <c r="F344" s="338" t="str">
        <f>VLOOKUP($B344,DG!A:D,DG!$D$2,)</f>
        <v>tấn</v>
      </c>
      <c r="G344" s="353"/>
      <c r="H344" s="354"/>
      <c r="I344" s="354"/>
      <c r="J344" s="354"/>
      <c r="K344" s="354"/>
      <c r="L344" s="354"/>
      <c r="M344" s="332"/>
      <c r="N344" s="340"/>
      <c r="O344" s="341"/>
    </row>
    <row r="345" spans="1:15" ht="16.2" outlineLevel="1">
      <c r="A345" s="288"/>
      <c r="B345" s="356" t="s">
        <v>711</v>
      </c>
      <c r="C345" s="388" t="str">
        <f>IF(OR(I345&lt;&gt;0,H345&lt;&gt;0),"x"," ")</f>
        <v xml:space="preserve"> </v>
      </c>
      <c r="D345" s="338" t="str">
        <f>VLOOKUP($B345,DG!A:C,2,)</f>
        <v>02.1361</v>
      </c>
      <c r="E345" s="366" t="str">
        <f>VLOOKUP($B345,DG!A:C,3,)</f>
        <v>V/c xà vào vị trí (cư ly &lt;=100m)</v>
      </c>
      <c r="F345" s="338" t="str">
        <f>VLOOKUP($B345,DG!A:D,4,0)</f>
        <v>tấn</v>
      </c>
      <c r="G345" s="353"/>
      <c r="H345" s="354"/>
      <c r="I345" s="354"/>
      <c r="J345" s="354"/>
      <c r="K345" s="354"/>
      <c r="L345" s="354"/>
      <c r="M345" s="332"/>
      <c r="N345" s="340"/>
      <c r="O345" s="341"/>
    </row>
    <row r="346" spans="1:15" ht="16.2" outlineLevel="1">
      <c r="A346" s="288"/>
      <c r="B346" s="356" t="s">
        <v>447</v>
      </c>
      <c r="C346" s="388" t="str">
        <f>IF(OR(I346&lt;&gt;0,H346&lt;&gt;0),"x"," ")</f>
        <v xml:space="preserve"> </v>
      </c>
      <c r="D346" s="338" t="str">
        <f>VLOOKUP($B346,DG!A:C,2,)</f>
        <v>02.1482</v>
      </c>
      <c r="E346" s="366" t="str">
        <f>VLOOKUP($B346,DG!A:C,3,)</f>
        <v>V/c dụng cụ thi công vào vị trí (cự ly &lt;=100m)</v>
      </c>
      <c r="F346" s="338" t="str">
        <f>VLOOKUP($B346,DG!A:D,4,0)</f>
        <v>tấn</v>
      </c>
      <c r="G346" s="357"/>
      <c r="H346" s="354"/>
      <c r="I346" s="354"/>
      <c r="J346" s="354"/>
      <c r="K346" s="354"/>
      <c r="L346" s="354"/>
      <c r="M346" s="332"/>
      <c r="N346" s="340"/>
      <c r="O346" s="341"/>
    </row>
    <row r="347" spans="1:15" ht="16.2" outlineLevel="1">
      <c r="A347" s="342" t="s">
        <v>756</v>
      </c>
      <c r="B347" s="343" t="s">
        <v>756</v>
      </c>
      <c r="C347" s="388" t="str">
        <f>IF(OR(I347&lt;&gt;0,H347&lt;&gt;0),"x"," ")</f>
        <v xml:space="preserve"> </v>
      </c>
      <c r="D347" s="345"/>
      <c r="E347" s="346" t="s">
        <v>757</v>
      </c>
      <c r="F347" s="347" t="s">
        <v>285</v>
      </c>
      <c r="G347" s="386"/>
      <c r="H347" s="349">
        <f>IFERROR(HLOOKUP(B347,'BKT-ThuHoi'!$5:$183,179,0),0)</f>
        <v>0</v>
      </c>
      <c r="I347" s="350">
        <f>H347+J347-K347</f>
        <v>0</v>
      </c>
      <c r="J347" s="350"/>
      <c r="K347" s="350"/>
      <c r="L347" s="350"/>
      <c r="M347" s="332"/>
      <c r="N347" s="340"/>
      <c r="O347" s="341"/>
    </row>
    <row r="348" spans="1:15" ht="16.2" outlineLevel="1">
      <c r="A348" s="288"/>
      <c r="B348" s="351" t="s">
        <v>704</v>
      </c>
      <c r="C348" s="388" t="str">
        <f>IF(OR(I348&lt;&gt;0,H348&lt;&gt;0),"x"," ")</f>
        <v xml:space="preserve"> </v>
      </c>
      <c r="D348" s="338"/>
      <c r="E348" s="358" t="str">
        <f>VLOOKUP($B348,DG!A:D,DG!$C$2,)</f>
        <v>Sắt góc L75 x75 x8</v>
      </c>
      <c r="F348" s="338" t="str">
        <f>VLOOKUP($B348,DG!A:D,DG!$D$2,)</f>
        <v>kg</v>
      </c>
      <c r="G348" s="357">
        <f>9.02*(2.1+3*0.07)</f>
        <v>20.836199999999998</v>
      </c>
      <c r="H348" s="360">
        <f t="shared" ref="H348:H352" si="20">H$347*$G348</f>
        <v>0</v>
      </c>
      <c r="I348" s="360"/>
      <c r="J348" s="360"/>
      <c r="K348" s="360"/>
      <c r="L348" s="360"/>
      <c r="M348" s="332"/>
      <c r="N348" s="340"/>
      <c r="O348" s="341"/>
    </row>
    <row r="349" spans="1:15" ht="16.2" outlineLevel="1">
      <c r="A349" s="288"/>
      <c r="B349" s="351" t="s">
        <v>705</v>
      </c>
      <c r="C349" s="388" t="str">
        <f>IF(OR(I349&lt;&gt;0,H349&lt;&gt;0),"x"," ")</f>
        <v xml:space="preserve"> </v>
      </c>
      <c r="D349" s="338"/>
      <c r="E349" s="358" t="str">
        <f>VLOOKUP($B349,DG!A:D,DG!$C$2,)</f>
        <v>Sắt góc L50 x50 x5</v>
      </c>
      <c r="F349" s="338" t="str">
        <f>VLOOKUP($B349,DG!A:D,DG!$D$2,)</f>
        <v>kg</v>
      </c>
      <c r="G349" s="357">
        <f>3.77*1.99</f>
        <v>7.5023</v>
      </c>
      <c r="H349" s="360">
        <f t="shared" si="20"/>
        <v>0</v>
      </c>
      <c r="I349" s="360"/>
      <c r="J349" s="360"/>
      <c r="K349" s="360"/>
      <c r="L349" s="360"/>
      <c r="M349" s="332"/>
      <c r="N349" s="340"/>
      <c r="O349" s="341"/>
    </row>
    <row r="350" spans="1:15" ht="16.2" outlineLevel="1">
      <c r="A350" s="288"/>
      <c r="B350" s="351" t="s">
        <v>758</v>
      </c>
      <c r="C350" s="388" t="str">
        <f>IF(OR(I350&lt;&gt;0,H350&lt;&gt;0),"x"," ")</f>
        <v xml:space="preserve"> </v>
      </c>
      <c r="D350" s="338"/>
      <c r="E350" s="358" t="str">
        <f>VLOOKUP($B350,DG!A:D,DG!$C$2,)</f>
        <v>Sắt dẹt 50 x 5</v>
      </c>
      <c r="F350" s="338" t="str">
        <f>VLOOKUP($B350,DG!A:D,DG!$D$2,)</f>
        <v>kg</v>
      </c>
      <c r="G350" s="357">
        <f>1.963*0.4</f>
        <v>0.78520000000000012</v>
      </c>
      <c r="H350" s="360">
        <f t="shared" si="20"/>
        <v>0</v>
      </c>
      <c r="I350" s="360"/>
      <c r="J350" s="360"/>
      <c r="K350" s="360"/>
      <c r="L350" s="360"/>
      <c r="M350" s="332"/>
      <c r="N350" s="340"/>
      <c r="O350" s="341"/>
    </row>
    <row r="351" spans="1:15" ht="16.2" outlineLevel="1">
      <c r="A351" s="288"/>
      <c r="B351" s="351" t="s">
        <v>707</v>
      </c>
      <c r="C351" s="388" t="str">
        <f>IF(OR(I351&lt;&gt;0,H351&lt;&gt;0),"x"," ")</f>
        <v xml:space="preserve"> </v>
      </c>
      <c r="D351" s="338"/>
      <c r="E351" s="358" t="str">
        <f>VLOOKUP($B351,DG!A:D,DG!$C$2,)</f>
        <v>Boulon 16x250</v>
      </c>
      <c r="F351" s="338" t="str">
        <f>VLOOKUP($B351,DG!A:D,DG!$D$2,)</f>
        <v>bộ</v>
      </c>
      <c r="G351" s="359">
        <v>2</v>
      </c>
      <c r="H351" s="360">
        <f t="shared" si="20"/>
        <v>0</v>
      </c>
      <c r="I351" s="360"/>
      <c r="J351" s="360"/>
      <c r="K351" s="360"/>
      <c r="L351" s="360"/>
      <c r="M351" s="332"/>
      <c r="N351" s="340"/>
      <c r="O351" s="341"/>
    </row>
    <row r="352" spans="1:15" ht="16.2" outlineLevel="1">
      <c r="A352" s="288"/>
      <c r="B352" s="351" t="s">
        <v>708</v>
      </c>
      <c r="C352" s="388" t="str">
        <f>IF(OR(I352&lt;&gt;0,H352&lt;&gt;0),"x"," ")</f>
        <v xml:space="preserve"> </v>
      </c>
      <c r="D352" s="338"/>
      <c r="E352" s="358" t="str">
        <f>VLOOKUP($B352,DG!A:D,DG!$C$2,)</f>
        <v>Boulon 16x50</v>
      </c>
      <c r="F352" s="338" t="str">
        <f>VLOOKUP($B352,DG!A:D,DG!$D$2,)</f>
        <v>bộ</v>
      </c>
      <c r="G352" s="359">
        <v>1</v>
      </c>
      <c r="H352" s="360">
        <f t="shared" si="20"/>
        <v>0</v>
      </c>
      <c r="I352" s="360"/>
      <c r="J352" s="360"/>
      <c r="K352" s="360"/>
      <c r="L352" s="360"/>
      <c r="M352" s="332"/>
      <c r="N352" s="340"/>
      <c r="O352" s="341"/>
    </row>
    <row r="353" spans="1:15" ht="16.2" outlineLevel="1">
      <c r="A353" s="288"/>
      <c r="B353" s="362" t="s">
        <v>759</v>
      </c>
      <c r="C353" s="388" t="str">
        <f>IF(OR(I353&lt;&gt;0,H353&lt;&gt;0),"x"," ")</f>
        <v xml:space="preserve"> </v>
      </c>
      <c r="D353" s="363" t="str">
        <f>VLOOKUP($B353,DG!A:D,DG!$B$2,)</f>
        <v>05.6102</v>
      </c>
      <c r="E353" s="366" t="str">
        <f>VLOOKUP($B353,DG!A:D,DG!$C$2,)</f>
        <v>Lắp xà đỡ ≤ 50kg</v>
      </c>
      <c r="F353" s="338" t="str">
        <f>VLOOKUP($B353,DG!A:D,DG!$D$2,)</f>
        <v>bộ</v>
      </c>
      <c r="G353" s="359">
        <v>1</v>
      </c>
      <c r="H353" s="354"/>
      <c r="I353" s="354"/>
      <c r="J353" s="354"/>
      <c r="K353" s="354"/>
      <c r="L353" s="354"/>
      <c r="M353" s="332"/>
      <c r="N353" s="340"/>
      <c r="O353" s="341"/>
    </row>
    <row r="354" spans="1:15" ht="16.2" outlineLevel="1">
      <c r="A354" s="288"/>
      <c r="B354" s="351" t="s">
        <v>710</v>
      </c>
      <c r="C354" s="388" t="str">
        <f>IF(OR(I354&lt;&gt;0,H354&lt;&gt;0),"x"," ")</f>
        <v xml:space="preserve"> </v>
      </c>
      <c r="D354" s="338" t="str">
        <f>VLOOKUP($B354,DG!A:D,DG!$B$2,)</f>
        <v>02.1115</v>
      </c>
      <c r="E354" s="366" t="str">
        <f>VLOOKUP($B354,DG!A:D,DG!$C$2,)</f>
        <v>Bốc dỡ xà, thép thanh</v>
      </c>
      <c r="F354" s="338" t="str">
        <f>VLOOKUP($B354,DG!A:D,DG!$D$2,)</f>
        <v>tấn</v>
      </c>
      <c r="G354" s="353"/>
      <c r="H354" s="354"/>
      <c r="I354" s="354"/>
      <c r="J354" s="354"/>
      <c r="K354" s="354"/>
      <c r="L354" s="354"/>
      <c r="M354" s="332"/>
      <c r="N354" s="340"/>
      <c r="O354" s="341"/>
    </row>
    <row r="355" spans="1:15" ht="16.2" outlineLevel="1">
      <c r="A355" s="288"/>
      <c r="B355" s="356" t="s">
        <v>711</v>
      </c>
      <c r="C355" s="388" t="str">
        <f>IF(OR(I355&lt;&gt;0,H355&lt;&gt;0),"x"," ")</f>
        <v xml:space="preserve"> </v>
      </c>
      <c r="D355" s="338" t="str">
        <f>VLOOKUP($B355,DG!A:C,2,)</f>
        <v>02.1361</v>
      </c>
      <c r="E355" s="366" t="str">
        <f>VLOOKUP($B355,DG!A:C,3,)</f>
        <v>V/c xà vào vị trí (cư ly &lt;=100m)</v>
      </c>
      <c r="F355" s="338" t="str">
        <f>VLOOKUP($B355,DG!A:D,4,0)</f>
        <v>tấn</v>
      </c>
      <c r="G355" s="353"/>
      <c r="H355" s="354"/>
      <c r="I355" s="354"/>
      <c r="J355" s="354"/>
      <c r="K355" s="354"/>
      <c r="L355" s="354"/>
      <c r="M355" s="332"/>
      <c r="N355" s="340"/>
      <c r="O355" s="341"/>
    </row>
    <row r="356" spans="1:15" ht="16.2" outlineLevel="1">
      <c r="A356" s="288"/>
      <c r="B356" s="356" t="s">
        <v>447</v>
      </c>
      <c r="C356" s="388" t="str">
        <f>IF(OR(I356&lt;&gt;0,H356&lt;&gt;0),"x"," ")</f>
        <v xml:space="preserve"> </v>
      </c>
      <c r="D356" s="338" t="str">
        <f>VLOOKUP($B356,DG!A:C,2,)</f>
        <v>02.1482</v>
      </c>
      <c r="E356" s="366" t="str">
        <f>VLOOKUP($B356,DG!A:C,3,)</f>
        <v>V/c dụng cụ thi công vào vị trí (cự ly &lt;=100m)</v>
      </c>
      <c r="F356" s="338" t="str">
        <f>VLOOKUP($B356,DG!A:D,4,0)</f>
        <v>tấn</v>
      </c>
      <c r="G356" s="357"/>
      <c r="H356" s="354"/>
      <c r="I356" s="354"/>
      <c r="J356" s="354"/>
      <c r="K356" s="354"/>
      <c r="L356" s="354"/>
      <c r="M356" s="332"/>
      <c r="N356" s="340"/>
      <c r="O356" s="341"/>
    </row>
    <row r="357" spans="1:15" ht="16.2" outlineLevel="1">
      <c r="A357" s="342" t="s">
        <v>760</v>
      </c>
      <c r="B357" s="343" t="s">
        <v>760</v>
      </c>
      <c r="C357" s="388" t="str">
        <f>IF(OR(I357&lt;&gt;0,H357&lt;&gt;0),"x"," ")</f>
        <v xml:space="preserve"> </v>
      </c>
      <c r="D357" s="345"/>
      <c r="E357" s="346" t="s">
        <v>761</v>
      </c>
      <c r="F357" s="347" t="s">
        <v>285</v>
      </c>
      <c r="G357" s="383"/>
      <c r="H357" s="349">
        <f>IFERROR(HLOOKUP(B357,'BKT-ThuHoi'!$5:$183,179,0),0)</f>
        <v>0</v>
      </c>
      <c r="I357" s="350">
        <f>H357+J357-K357</f>
        <v>0</v>
      </c>
      <c r="J357" s="350"/>
      <c r="K357" s="350"/>
      <c r="L357" s="350"/>
      <c r="M357" s="332"/>
      <c r="N357" s="340"/>
      <c r="O357" s="341"/>
    </row>
    <row r="358" spans="1:15" ht="16.2" outlineLevel="1">
      <c r="A358" s="288"/>
      <c r="B358" s="351" t="s">
        <v>704</v>
      </c>
      <c r="C358" s="388" t="str">
        <f>IF(OR(I358&lt;&gt;0,H358&lt;&gt;0),"x"," ")</f>
        <v xml:space="preserve"> </v>
      </c>
      <c r="D358" s="338"/>
      <c r="E358" s="358" t="str">
        <f>VLOOKUP($B358,DG!A:D,DG!$C$2,)</f>
        <v>Sắt góc L75 x75 x8</v>
      </c>
      <c r="F358" s="338" t="str">
        <f>VLOOKUP($B358,DG!A:D,DG!$D$2,)</f>
        <v>kg</v>
      </c>
      <c r="G358" s="357">
        <f>9.02*2*(2.1+3*0.07)</f>
        <v>41.672399999999996</v>
      </c>
      <c r="H358" s="360">
        <f t="shared" ref="H358:H363" si="21">H$357*$G358</f>
        <v>0</v>
      </c>
      <c r="I358" s="360"/>
      <c r="J358" s="360"/>
      <c r="K358" s="360"/>
      <c r="L358" s="360"/>
      <c r="M358" s="332"/>
      <c r="N358" s="340"/>
      <c r="O358" s="341"/>
    </row>
    <row r="359" spans="1:15" ht="16.2" outlineLevel="1">
      <c r="A359" s="288"/>
      <c r="B359" s="351" t="s">
        <v>705</v>
      </c>
      <c r="C359" s="388" t="str">
        <f>IF(OR(I359&lt;&gt;0,H359&lt;&gt;0),"x"," ")</f>
        <v xml:space="preserve"> </v>
      </c>
      <c r="D359" s="338"/>
      <c r="E359" s="358" t="str">
        <f>VLOOKUP($B359,DG!A:D,DG!$C$2,)</f>
        <v>Sắt góc L50 x50 x5</v>
      </c>
      <c r="F359" s="338" t="str">
        <f>VLOOKUP($B359,DG!A:D,DG!$D$2,)</f>
        <v>kg</v>
      </c>
      <c r="G359" s="357">
        <f>3.77*1.99*2</f>
        <v>15.0046</v>
      </c>
      <c r="H359" s="360">
        <f t="shared" si="21"/>
        <v>0</v>
      </c>
      <c r="I359" s="360"/>
      <c r="J359" s="360"/>
      <c r="K359" s="360"/>
      <c r="L359" s="360"/>
      <c r="M359" s="332"/>
      <c r="N359" s="340"/>
      <c r="O359" s="341"/>
    </row>
    <row r="360" spans="1:15" ht="16.2" outlineLevel="1">
      <c r="A360" s="288"/>
      <c r="B360" s="351" t="s">
        <v>758</v>
      </c>
      <c r="C360" s="388" t="str">
        <f>IF(OR(I360&lt;&gt;0,H360&lt;&gt;0),"x"," ")</f>
        <v xml:space="preserve"> </v>
      </c>
      <c r="D360" s="338"/>
      <c r="E360" s="358" t="str">
        <f>VLOOKUP($B360,DG!A:D,DG!$C$2,)</f>
        <v>Sắt dẹt 50 x 5</v>
      </c>
      <c r="F360" s="338" t="str">
        <f>VLOOKUP($B360,DG!A:D,DG!$D$2,)</f>
        <v>kg</v>
      </c>
      <c r="G360" s="357">
        <f>1.963*0.4*2</f>
        <v>1.5704000000000002</v>
      </c>
      <c r="H360" s="360">
        <f t="shared" si="21"/>
        <v>0</v>
      </c>
      <c r="I360" s="360"/>
      <c r="J360" s="360"/>
      <c r="K360" s="360"/>
      <c r="L360" s="360"/>
      <c r="M360" s="332"/>
      <c r="N360" s="340"/>
      <c r="O360" s="341"/>
    </row>
    <row r="361" spans="1:15" ht="16.2" outlineLevel="1">
      <c r="A361" s="288"/>
      <c r="B361" s="351" t="s">
        <v>718</v>
      </c>
      <c r="C361" s="388" t="str">
        <f>IF(OR(I361&lt;&gt;0,H361&lt;&gt;0),"x"," ")</f>
        <v xml:space="preserve"> </v>
      </c>
      <c r="D361" s="338"/>
      <c r="E361" s="358" t="str">
        <f>VLOOKUP($B361,DG!A:D,DG!$C$2,)</f>
        <v>Boulon 16x300VRS</v>
      </c>
      <c r="F361" s="338" t="str">
        <f>VLOOKUP($B361,DG!A:D,DG!$D$2,)</f>
        <v>bộ</v>
      </c>
      <c r="G361" s="359">
        <v>3</v>
      </c>
      <c r="H361" s="360">
        <f t="shared" si="21"/>
        <v>0</v>
      </c>
      <c r="I361" s="360"/>
      <c r="J361" s="360"/>
      <c r="K361" s="360"/>
      <c r="L361" s="360"/>
      <c r="M361" s="332"/>
      <c r="N361" s="340"/>
      <c r="O361" s="341"/>
    </row>
    <row r="362" spans="1:15" ht="16.2" outlineLevel="1">
      <c r="A362" s="288"/>
      <c r="B362" s="351" t="s">
        <v>717</v>
      </c>
      <c r="C362" s="388" t="str">
        <f>IF(OR(I362&lt;&gt;0,H362&lt;&gt;0),"x"," ")</f>
        <v xml:space="preserve"> </v>
      </c>
      <c r="D362" s="338"/>
      <c r="E362" s="358" t="str">
        <f>VLOOKUP($B362,DG!A:D,DG!$C$2,)</f>
        <v>Boulon 16x300</v>
      </c>
      <c r="F362" s="338" t="str">
        <f>VLOOKUP($B362,DG!A:D,DG!$D$2,)</f>
        <v>bộ</v>
      </c>
      <c r="G362" s="359">
        <v>1</v>
      </c>
      <c r="H362" s="360">
        <f t="shared" si="21"/>
        <v>0</v>
      </c>
      <c r="I362" s="360"/>
      <c r="J362" s="360"/>
      <c r="K362" s="360"/>
      <c r="L362" s="360"/>
      <c r="M362" s="332"/>
      <c r="N362" s="340"/>
      <c r="O362" s="341"/>
    </row>
    <row r="363" spans="1:15" ht="16.2" outlineLevel="1">
      <c r="A363" s="288"/>
      <c r="B363" s="351" t="s">
        <v>707</v>
      </c>
      <c r="C363" s="388" t="str">
        <f>IF(OR(I363&lt;&gt;0,H363&lt;&gt;0),"x"," ")</f>
        <v xml:space="preserve"> </v>
      </c>
      <c r="D363" s="338"/>
      <c r="E363" s="358" t="str">
        <f>VLOOKUP($B363,DG!A:D,DG!$C$2,)</f>
        <v>Boulon 16x250</v>
      </c>
      <c r="F363" s="338" t="str">
        <f>VLOOKUP($B363,DG!A:D,DG!$D$2,)</f>
        <v>bộ</v>
      </c>
      <c r="G363" s="359">
        <v>1</v>
      </c>
      <c r="H363" s="360">
        <f t="shared" si="21"/>
        <v>0</v>
      </c>
      <c r="I363" s="360"/>
      <c r="J363" s="360"/>
      <c r="K363" s="360"/>
      <c r="L363" s="360"/>
      <c r="M363" s="332"/>
      <c r="N363" s="340"/>
      <c r="O363" s="341"/>
    </row>
    <row r="364" spans="1:15" ht="16.2" outlineLevel="1">
      <c r="A364" s="288"/>
      <c r="B364" s="362" t="s">
        <v>719</v>
      </c>
      <c r="C364" s="388" t="str">
        <f>IF(OR(I364&lt;&gt;0,H364&lt;&gt;0),"x"," ")</f>
        <v xml:space="preserve"> </v>
      </c>
      <c r="D364" s="363" t="str">
        <f>VLOOKUP($B364,DG!A:D,DG!$B$2,)</f>
        <v>05.6203</v>
      </c>
      <c r="E364" s="366" t="str">
        <f>VLOOKUP($B364,DG!A:D,DG!$C$2,)</f>
        <v>Lắp xà néo ≤ 100kg</v>
      </c>
      <c r="F364" s="338" t="str">
        <f>VLOOKUP($B364,DG!A:D,DG!$D$2,)</f>
        <v>bộ</v>
      </c>
      <c r="G364" s="359">
        <v>1</v>
      </c>
      <c r="H364" s="354"/>
      <c r="I364" s="354"/>
      <c r="J364" s="354"/>
      <c r="K364" s="354"/>
      <c r="L364" s="354"/>
      <c r="M364" s="332"/>
      <c r="N364" s="340"/>
      <c r="O364" s="341"/>
    </row>
    <row r="365" spans="1:15" ht="16.2" outlineLevel="1">
      <c r="A365" s="288"/>
      <c r="B365" s="351" t="s">
        <v>710</v>
      </c>
      <c r="C365" s="388" t="str">
        <f>IF(OR(I365&lt;&gt;0,H365&lt;&gt;0),"x"," ")</f>
        <v xml:space="preserve"> </v>
      </c>
      <c r="D365" s="338" t="str">
        <f>VLOOKUP($B365,DG!A:D,DG!$B$2,)</f>
        <v>02.1115</v>
      </c>
      <c r="E365" s="366" t="str">
        <f>VLOOKUP($B365,DG!A:D,DG!$C$2,)</f>
        <v>Bốc dỡ xà, thép thanh</v>
      </c>
      <c r="F365" s="338" t="str">
        <f>VLOOKUP($B365,DG!A:D,DG!$D$2,)</f>
        <v>tấn</v>
      </c>
      <c r="G365" s="353"/>
      <c r="H365" s="354"/>
      <c r="I365" s="354"/>
      <c r="J365" s="354"/>
      <c r="K365" s="354"/>
      <c r="L365" s="354"/>
      <c r="M365" s="332"/>
      <c r="N365" s="340"/>
      <c r="O365" s="341"/>
    </row>
    <row r="366" spans="1:15" ht="16.2" outlineLevel="1">
      <c r="A366" s="288"/>
      <c r="B366" s="356" t="s">
        <v>711</v>
      </c>
      <c r="C366" s="388" t="str">
        <f>IF(OR(I366&lt;&gt;0,H366&lt;&gt;0),"x"," ")</f>
        <v xml:space="preserve"> </v>
      </c>
      <c r="D366" s="338" t="str">
        <f>VLOOKUP($B366,DG!A:C,2,)</f>
        <v>02.1361</v>
      </c>
      <c r="E366" s="366" t="str">
        <f>VLOOKUP($B366,DG!A:C,3,)</f>
        <v>V/c xà vào vị trí (cư ly &lt;=100m)</v>
      </c>
      <c r="F366" s="338" t="str">
        <f>VLOOKUP($B366,DG!A:D,4,0)</f>
        <v>tấn</v>
      </c>
      <c r="G366" s="353"/>
      <c r="H366" s="354"/>
      <c r="I366" s="354"/>
      <c r="J366" s="354"/>
      <c r="K366" s="354"/>
      <c r="L366" s="354"/>
      <c r="M366" s="332"/>
      <c r="N366" s="340"/>
      <c r="O366" s="341"/>
    </row>
    <row r="367" spans="1:15" ht="16.2" outlineLevel="1">
      <c r="A367" s="288"/>
      <c r="B367" s="356" t="s">
        <v>447</v>
      </c>
      <c r="C367" s="388" t="str">
        <f>IF(OR(I367&lt;&gt;0,H367&lt;&gt;0),"x"," ")</f>
        <v xml:space="preserve"> </v>
      </c>
      <c r="D367" s="338" t="str">
        <f>VLOOKUP($B367,DG!A:C,2,)</f>
        <v>02.1482</v>
      </c>
      <c r="E367" s="366" t="str">
        <f>VLOOKUP($B367,DG!A:C,3,)</f>
        <v>V/c dụng cụ thi công vào vị trí (cự ly &lt;=100m)</v>
      </c>
      <c r="F367" s="338" t="str">
        <f>VLOOKUP($B367,DG!A:D,4,0)</f>
        <v>tấn</v>
      </c>
      <c r="G367" s="357"/>
      <c r="H367" s="354"/>
      <c r="I367" s="354"/>
      <c r="J367" s="354"/>
      <c r="K367" s="354"/>
      <c r="L367" s="354"/>
      <c r="M367" s="332"/>
      <c r="N367" s="340"/>
      <c r="O367" s="341"/>
    </row>
    <row r="368" spans="1:15" ht="16.2" outlineLevel="1">
      <c r="A368" s="372" t="s">
        <v>245</v>
      </c>
      <c r="B368" s="373" t="s">
        <v>245</v>
      </c>
      <c r="C368" s="388" t="str">
        <f>IF(OR(I368&lt;&gt;0,H368&lt;&gt;0),"x"," ")</f>
        <v>x</v>
      </c>
      <c r="D368" s="345"/>
      <c r="E368" s="346" t="s">
        <v>762</v>
      </c>
      <c r="F368" s="347" t="s">
        <v>285</v>
      </c>
      <c r="G368" s="348"/>
      <c r="H368" s="349">
        <f>IFERROR(HLOOKUP(B368,'BKT-ThuHoi'!$5:$183,179,0),0)</f>
        <v>1</v>
      </c>
      <c r="I368" s="349">
        <f>H368+J368-K368</f>
        <v>1</v>
      </c>
      <c r="J368" s="350"/>
      <c r="K368" s="350"/>
      <c r="L368" s="350"/>
      <c r="M368" s="340"/>
      <c r="N368" s="340"/>
      <c r="O368" s="341"/>
    </row>
    <row r="369" spans="1:15" ht="16.2" outlineLevel="1">
      <c r="B369" s="336" t="s">
        <v>3974</v>
      </c>
      <c r="C369" s="388" t="str">
        <f>IF(OR(I369&lt;&gt;0,H369&lt;&gt;0),"x"," ")</f>
        <v>x</v>
      </c>
      <c r="D369" s="338"/>
      <c r="E369" s="358" t="str">
        <f>VLOOKUP($B369,DG!A:D,DG!$C$2,)</f>
        <v>Đà 2m X-20Đ</v>
      </c>
      <c r="F369" s="338" t="str">
        <f>VLOOKUP($B369,DG!A:D,DG!$D$2,)</f>
        <v>Cái</v>
      </c>
      <c r="G369" s="357">
        <v>1</v>
      </c>
      <c r="H369" s="360">
        <f>H$368*$G369</f>
        <v>1</v>
      </c>
      <c r="I369" s="360">
        <f>$I$368*G369</f>
        <v>1</v>
      </c>
      <c r="J369" s="380">
        <f>$J$368*G369</f>
        <v>0</v>
      </c>
      <c r="K369" s="360"/>
      <c r="L369" s="360"/>
      <c r="M369" s="340"/>
      <c r="N369" s="340"/>
      <c r="O369" s="341"/>
    </row>
    <row r="370" spans="1:15" ht="16.2" outlineLevel="1">
      <c r="B370" s="336" t="s">
        <v>3883</v>
      </c>
      <c r="C370" s="388" t="str">
        <f>IF(OR(I370&lt;&gt;0,H370&lt;&gt;0),"x"," ")</f>
        <v>x</v>
      </c>
      <c r="D370" s="338"/>
      <c r="E370" s="358" t="str">
        <f>VLOOKUP($B370,DG!A:D,DG!$C$2,)</f>
        <v>Thanh chống đà  1150</v>
      </c>
      <c r="F370" s="338" t="str">
        <f>VLOOKUP($B370,DG!A:D,DG!$D$2,)</f>
        <v>cái</v>
      </c>
      <c r="G370" s="357">
        <v>1</v>
      </c>
      <c r="H370" s="360">
        <f>H$368*$G370</f>
        <v>1</v>
      </c>
      <c r="I370" s="360">
        <f>$I$368*G370</f>
        <v>1</v>
      </c>
      <c r="J370" s="380">
        <f>$J$368*G370</f>
        <v>0</v>
      </c>
      <c r="K370" s="360"/>
      <c r="L370" s="360"/>
      <c r="M370" s="340"/>
      <c r="N370" s="340"/>
      <c r="O370" s="341"/>
    </row>
    <row r="371" spans="1:15" ht="16.2" outlineLevel="1">
      <c r="B371" s="336" t="s">
        <v>707</v>
      </c>
      <c r="C371" s="388" t="str">
        <f>IF(OR(I371&lt;&gt;0,H371&lt;&gt;0),"x"," ")</f>
        <v>x</v>
      </c>
      <c r="D371" s="338"/>
      <c r="E371" s="358" t="str">
        <f>VLOOKUP($B371,DG!A:D,DG!$C$2,)</f>
        <v>Boulon 16x250</v>
      </c>
      <c r="F371" s="338" t="str">
        <f>VLOOKUP($B371,DG!A:D,DG!$D$2,)</f>
        <v>bộ</v>
      </c>
      <c r="G371" s="359">
        <v>2</v>
      </c>
      <c r="H371" s="360">
        <f>H$368*$G371</f>
        <v>2</v>
      </c>
      <c r="I371" s="360">
        <f>$I$368*G371</f>
        <v>2</v>
      </c>
      <c r="J371" s="360">
        <f>$J$368*G371</f>
        <v>0</v>
      </c>
      <c r="K371" s="360"/>
      <c r="L371" s="360"/>
      <c r="M371" s="340"/>
      <c r="N371" s="340"/>
      <c r="O371" s="341"/>
    </row>
    <row r="372" spans="1:15" ht="16.2" outlineLevel="1">
      <c r="B372" s="336" t="s">
        <v>708</v>
      </c>
      <c r="C372" s="388" t="str">
        <f>IF(OR(I372&lt;&gt;0,H372&lt;&gt;0),"x"," ")</f>
        <v>x</v>
      </c>
      <c r="D372" s="338"/>
      <c r="E372" s="358" t="str">
        <f>VLOOKUP($B372,DG!A:D,DG!$C$2,)</f>
        <v>Boulon 16x50</v>
      </c>
      <c r="F372" s="338" t="str">
        <f>VLOOKUP($B372,DG!A:D,DG!$D$2,)</f>
        <v>bộ</v>
      </c>
      <c r="G372" s="359">
        <v>1</v>
      </c>
      <c r="H372" s="360">
        <f>H$368*$G372</f>
        <v>1</v>
      </c>
      <c r="I372" s="360">
        <f>$I$368*G372</f>
        <v>1</v>
      </c>
      <c r="J372" s="360">
        <f>$J$368*G372</f>
        <v>0</v>
      </c>
      <c r="K372" s="360"/>
      <c r="L372" s="360"/>
      <c r="M372" s="340"/>
      <c r="N372" s="340"/>
      <c r="O372" s="341"/>
    </row>
    <row r="373" spans="1:15" ht="16.2" outlineLevel="1">
      <c r="B373" s="336" t="s">
        <v>709</v>
      </c>
      <c r="C373" s="388" t="str">
        <f>IF(OR(I373&lt;&gt;0,H373&lt;&gt;0),"x"," ")</f>
        <v>x</v>
      </c>
      <c r="D373" s="396" t="str">
        <f>VLOOKUP($B373,DG!A:D,DG!$B$2,)</f>
        <v>05.6401</v>
      </c>
      <c r="E373" s="366" t="str">
        <f>VLOOKUP($B373,DG!A:D,DG!$C$2,)</f>
        <v>Lắp xà đỡ ≤ 25kg</v>
      </c>
      <c r="F373" s="338" t="str">
        <f>VLOOKUP($B373,DG!A:D,DG!$D$2,)</f>
        <v>bộ</v>
      </c>
      <c r="G373" s="359">
        <v>1</v>
      </c>
      <c r="H373" s="360">
        <f>H$368*$G373</f>
        <v>1</v>
      </c>
      <c r="I373" s="360">
        <f>$I$368*G373</f>
        <v>1</v>
      </c>
      <c r="J373" s="360">
        <f>$J$368*G373</f>
        <v>0</v>
      </c>
      <c r="K373" s="354"/>
      <c r="L373" s="354"/>
      <c r="M373" s="340"/>
      <c r="N373" s="340"/>
      <c r="O373" s="341"/>
    </row>
    <row r="374" spans="1:15" ht="16.2" outlineLevel="1">
      <c r="A374" s="288"/>
      <c r="B374" s="351" t="s">
        <v>710</v>
      </c>
      <c r="C374" s="388" t="str">
        <f>IF(OR(I374&lt;&gt;0,H374&lt;&gt;0),"x"," ")</f>
        <v xml:space="preserve"> </v>
      </c>
      <c r="D374" s="338" t="str">
        <f>VLOOKUP($B374,DG!A:D,DG!$B$2,)</f>
        <v>02.1115</v>
      </c>
      <c r="E374" s="366" t="str">
        <f>VLOOKUP($B374,DG!A:D,DG!$C$2,)</f>
        <v>Bốc dỡ xà, thép thanh</v>
      </c>
      <c r="F374" s="338" t="str">
        <f>VLOOKUP($B374,DG!A:D,DG!$D$2,)</f>
        <v>tấn</v>
      </c>
      <c r="G374" s="353"/>
      <c r="H374" s="354"/>
      <c r="I374" s="354"/>
      <c r="J374" s="354"/>
      <c r="K374" s="354"/>
      <c r="L374" s="354"/>
      <c r="M374" s="332"/>
      <c r="N374" s="340"/>
      <c r="O374" s="341"/>
    </row>
    <row r="375" spans="1:15" ht="16.2" outlineLevel="1">
      <c r="A375" s="288"/>
      <c r="B375" s="356" t="s">
        <v>711</v>
      </c>
      <c r="C375" s="388" t="str">
        <f>IF(OR(I375&lt;&gt;0,H375&lt;&gt;0),"x"," ")</f>
        <v xml:space="preserve"> </v>
      </c>
      <c r="D375" s="338" t="str">
        <f>VLOOKUP($B375,DG!A:C,2,)</f>
        <v>02.1361</v>
      </c>
      <c r="E375" s="366" t="str">
        <f>VLOOKUP($B375,DG!A:C,3,)</f>
        <v>V/c xà vào vị trí (cư ly &lt;=100m)</v>
      </c>
      <c r="F375" s="338" t="str">
        <f>VLOOKUP($B375,DG!A:D,4,0)</f>
        <v>tấn</v>
      </c>
      <c r="G375" s="353"/>
      <c r="H375" s="354"/>
      <c r="I375" s="354"/>
      <c r="J375" s="354"/>
      <c r="K375" s="354"/>
      <c r="L375" s="354"/>
      <c r="M375" s="332"/>
      <c r="N375" s="340"/>
      <c r="O375" s="341"/>
    </row>
    <row r="376" spans="1:15" ht="16.2" outlineLevel="1">
      <c r="A376" s="288"/>
      <c r="B376" s="356" t="s">
        <v>447</v>
      </c>
      <c r="C376" s="388" t="str">
        <f>IF(OR(I376&lt;&gt;0,H376&lt;&gt;0),"x"," ")</f>
        <v xml:space="preserve"> </v>
      </c>
      <c r="D376" s="338" t="str">
        <f>VLOOKUP($B376,DG!A:C,2,)</f>
        <v>02.1482</v>
      </c>
      <c r="E376" s="366" t="str">
        <f>VLOOKUP($B376,DG!A:C,3,)</f>
        <v>V/c dụng cụ thi công vào vị trí (cự ly &lt;=100m)</v>
      </c>
      <c r="F376" s="338" t="str">
        <f>VLOOKUP($B376,DG!A:D,4,0)</f>
        <v>tấn</v>
      </c>
      <c r="G376" s="357"/>
      <c r="H376" s="354"/>
      <c r="I376" s="354"/>
      <c r="J376" s="354"/>
      <c r="K376" s="354"/>
      <c r="L376" s="354"/>
      <c r="M376" s="332"/>
      <c r="N376" s="340"/>
      <c r="O376" s="341"/>
    </row>
    <row r="377" spans="1:15" ht="16.2" outlineLevel="1">
      <c r="A377" s="372" t="s">
        <v>763</v>
      </c>
      <c r="B377" s="373" t="s">
        <v>763</v>
      </c>
      <c r="C377" s="388" t="str">
        <f>IF(OR(I377&lt;&gt;0,H377&lt;&gt;0),"x"," ")</f>
        <v xml:space="preserve"> </v>
      </c>
      <c r="D377" s="345"/>
      <c r="E377" s="346" t="s">
        <v>764</v>
      </c>
      <c r="F377" s="347" t="s">
        <v>285</v>
      </c>
      <c r="G377" s="348"/>
      <c r="H377" s="349">
        <f>IFERROR(HLOOKUP(B377,'BKT-ThuHoi'!$5:$183,179,0),0)</f>
        <v>0</v>
      </c>
      <c r="I377" s="399">
        <f>H377+J377-K377</f>
        <v>0</v>
      </c>
      <c r="J377" s="350"/>
      <c r="K377" s="350"/>
      <c r="L377" s="350"/>
      <c r="M377" s="340"/>
      <c r="N377" s="340"/>
      <c r="O377" s="341"/>
    </row>
    <row r="378" spans="1:15" ht="16.2" outlineLevel="1">
      <c r="B378" s="336" t="s">
        <v>704</v>
      </c>
      <c r="C378" s="388" t="str">
        <f>IF(OR(I378&lt;&gt;0,H378&lt;&gt;0),"x"," ")</f>
        <v xml:space="preserve"> </v>
      </c>
      <c r="D378" s="338"/>
      <c r="E378" s="358" t="str">
        <f>VLOOKUP($B378,DG!A:D,DG!$C$2,)</f>
        <v>Sắt góc L75 x75 x8</v>
      </c>
      <c r="F378" s="338" t="str">
        <f>VLOOKUP($B378,DG!A:D,DG!$D$2,)</f>
        <v>kg</v>
      </c>
      <c r="G378" s="357">
        <f>9.02*2*(2+3*0.07)</f>
        <v>39.868399999999994</v>
      </c>
      <c r="H378" s="360">
        <f t="shared" ref="H378:H384" si="22">H$377*$G378</f>
        <v>0</v>
      </c>
      <c r="I378" s="360">
        <f>$I$377*G378</f>
        <v>0</v>
      </c>
      <c r="J378" s="360"/>
      <c r="K378" s="360"/>
      <c r="L378" s="360"/>
      <c r="M378" s="340"/>
      <c r="N378" s="340"/>
      <c r="O378" s="341"/>
    </row>
    <row r="379" spans="1:15" ht="16.2" outlineLevel="1">
      <c r="B379" s="336" t="s">
        <v>705</v>
      </c>
      <c r="C379" s="388" t="str">
        <f>IF(OR(I379&lt;&gt;0,H379&lt;&gt;0),"x"," ")</f>
        <v xml:space="preserve"> </v>
      </c>
      <c r="D379" s="338"/>
      <c r="E379" s="358" t="str">
        <f>VLOOKUP($B379,DG!A:D,DG!$C$2,)</f>
        <v>Sắt góc L50 x50 x5</v>
      </c>
      <c r="F379" s="338" t="str">
        <f>VLOOKUP($B379,DG!A:D,DG!$D$2,)</f>
        <v>kg</v>
      </c>
      <c r="G379" s="357">
        <f>3.77*1.15*2</f>
        <v>8.6709999999999994</v>
      </c>
      <c r="H379" s="360">
        <f t="shared" si="22"/>
        <v>0</v>
      </c>
      <c r="I379" s="360">
        <f>$I$377*G379</f>
        <v>0</v>
      </c>
      <c r="J379" s="360"/>
      <c r="K379" s="360"/>
      <c r="L379" s="360"/>
      <c r="M379" s="340"/>
      <c r="N379" s="340"/>
      <c r="O379" s="341"/>
    </row>
    <row r="380" spans="1:15" ht="16.2" outlineLevel="1">
      <c r="B380" s="336" t="s">
        <v>718</v>
      </c>
      <c r="C380" s="388" t="str">
        <f>IF(OR(I380&lt;&gt;0,H380&lt;&gt;0),"x"," ")</f>
        <v xml:space="preserve"> </v>
      </c>
      <c r="D380" s="338"/>
      <c r="E380" s="358" t="str">
        <f>VLOOKUP($B380,DG!A:D,DG!$C$2,)</f>
        <v>Boulon 16x300VRS</v>
      </c>
      <c r="F380" s="338" t="str">
        <f>VLOOKUP($B380,DG!A:D,DG!$D$2,)</f>
        <v>bộ</v>
      </c>
      <c r="G380" s="359">
        <v>1</v>
      </c>
      <c r="H380" s="360">
        <f t="shared" si="22"/>
        <v>0</v>
      </c>
      <c r="I380" s="360">
        <f>$I$377*G380</f>
        <v>0</v>
      </c>
      <c r="J380" s="360"/>
      <c r="K380" s="360"/>
      <c r="L380" s="360"/>
      <c r="M380" s="340"/>
      <c r="N380" s="340"/>
      <c r="O380" s="341"/>
    </row>
    <row r="381" spans="1:15" ht="16.2" outlineLevel="1">
      <c r="B381" s="336" t="s">
        <v>717</v>
      </c>
      <c r="C381" s="388" t="str">
        <f>IF(OR(I381&lt;&gt;0,H381&lt;&gt;0),"x"," ")</f>
        <v xml:space="preserve"> </v>
      </c>
      <c r="D381" s="338"/>
      <c r="E381" s="358" t="str">
        <f>VLOOKUP($B381,DG!A:D,DG!$C$2,)</f>
        <v>Boulon 16x300</v>
      </c>
      <c r="F381" s="338" t="str">
        <f>VLOOKUP($B381,DG!A:D,DG!$D$2,)</f>
        <v>bộ</v>
      </c>
      <c r="G381" s="359">
        <v>1</v>
      </c>
      <c r="H381" s="360">
        <f t="shared" si="22"/>
        <v>0</v>
      </c>
      <c r="I381" s="360">
        <f>$I$377*G381</f>
        <v>0</v>
      </c>
      <c r="J381" s="360"/>
      <c r="K381" s="360"/>
      <c r="L381" s="360"/>
      <c r="M381" s="340"/>
      <c r="N381" s="340"/>
      <c r="O381" s="341"/>
    </row>
    <row r="382" spans="1:15" ht="16.2" outlineLevel="1">
      <c r="B382" s="336" t="s">
        <v>707</v>
      </c>
      <c r="C382" s="388" t="str">
        <f>IF(OR(I382&lt;&gt;0,H382&lt;&gt;0),"x"," ")</f>
        <v xml:space="preserve"> </v>
      </c>
      <c r="D382" s="338"/>
      <c r="E382" s="358" t="str">
        <f>VLOOKUP($B382,DG!A:D,DG!$C$2,)</f>
        <v>Boulon 16x250</v>
      </c>
      <c r="F382" s="338" t="str">
        <f>VLOOKUP($B382,DG!A:D,DG!$D$2,)</f>
        <v>bộ</v>
      </c>
      <c r="G382" s="359">
        <v>1</v>
      </c>
      <c r="H382" s="360">
        <f t="shared" si="22"/>
        <v>0</v>
      </c>
      <c r="I382" s="360">
        <f>$I$377*G382</f>
        <v>0</v>
      </c>
      <c r="J382" s="360"/>
      <c r="K382" s="360"/>
      <c r="L382" s="360"/>
      <c r="M382" s="340"/>
      <c r="N382" s="340"/>
      <c r="O382" s="341"/>
    </row>
    <row r="383" spans="1:15" ht="16.2" outlineLevel="1">
      <c r="B383" s="336" t="s">
        <v>708</v>
      </c>
      <c r="C383" s="388" t="str">
        <f>IF(OR(I383&lt;&gt;0,H383&lt;&gt;0),"x"," ")</f>
        <v xml:space="preserve"> </v>
      </c>
      <c r="D383" s="338"/>
      <c r="E383" s="358" t="str">
        <f>VLOOKUP($B383,DG!A:D,DG!$C$2,)</f>
        <v>Boulon 16x50</v>
      </c>
      <c r="F383" s="338" t="str">
        <f>VLOOKUP($B383,DG!A:D,DG!$D$2,)</f>
        <v>bộ</v>
      </c>
      <c r="G383" s="359">
        <v>2</v>
      </c>
      <c r="H383" s="360">
        <f t="shared" si="22"/>
        <v>0</v>
      </c>
      <c r="I383" s="360">
        <f>$I$377*G383</f>
        <v>0</v>
      </c>
      <c r="J383" s="360"/>
      <c r="K383" s="360"/>
      <c r="L383" s="360"/>
      <c r="M383" s="340"/>
      <c r="N383" s="340"/>
      <c r="O383" s="341"/>
    </row>
    <row r="384" spans="1:15" ht="16.2" outlineLevel="1">
      <c r="B384" s="336" t="s">
        <v>724</v>
      </c>
      <c r="C384" s="388" t="str">
        <f>IF(OR(I384&lt;&gt;0,H384&lt;&gt;0),"x"," ")</f>
        <v xml:space="preserve"> </v>
      </c>
      <c r="D384" s="396" t="str">
        <f>VLOOKUP($B384,DG!A:D,DG!$B$2,)</f>
        <v>05.6202</v>
      </c>
      <c r="E384" s="366" t="str">
        <f>VLOOKUP($B384,DG!A:D,DG!$C$2,)</f>
        <v>Lắp xà néo ≤ 50kg</v>
      </c>
      <c r="F384" s="338" t="str">
        <f>VLOOKUP($B384,DG!A:D,DG!$D$2,)</f>
        <v>bộ</v>
      </c>
      <c r="G384" s="359">
        <v>1</v>
      </c>
      <c r="H384" s="360">
        <f t="shared" si="22"/>
        <v>0</v>
      </c>
      <c r="I384" s="360">
        <f>$I$377*G384</f>
        <v>0</v>
      </c>
      <c r="J384" s="354"/>
      <c r="K384" s="354"/>
      <c r="L384" s="354"/>
      <c r="M384" s="340"/>
      <c r="N384" s="340"/>
      <c r="O384" s="341"/>
    </row>
    <row r="385" spans="1:15" ht="16.2" outlineLevel="1">
      <c r="A385" s="288"/>
      <c r="B385" s="351" t="s">
        <v>710</v>
      </c>
      <c r="C385" s="388" t="str">
        <f>IF(OR(I385&lt;&gt;0,H385&lt;&gt;0),"x"," ")</f>
        <v xml:space="preserve"> </v>
      </c>
      <c r="D385" s="338" t="str">
        <f>VLOOKUP($B385,DG!A:D,DG!$B$2,)</f>
        <v>02.1115</v>
      </c>
      <c r="E385" s="366" t="str">
        <f>VLOOKUP($B385,DG!A:D,DG!$C$2,)</f>
        <v>Bốc dỡ xà, thép thanh</v>
      </c>
      <c r="F385" s="338" t="str">
        <f>VLOOKUP($B385,DG!A:D,DG!$D$2,)</f>
        <v>tấn</v>
      </c>
      <c r="G385" s="353"/>
      <c r="H385" s="354"/>
      <c r="I385" s="354"/>
      <c r="J385" s="354"/>
      <c r="K385" s="354"/>
      <c r="L385" s="354"/>
      <c r="M385" s="332"/>
      <c r="N385" s="340"/>
      <c r="O385" s="341"/>
    </row>
    <row r="386" spans="1:15" ht="16.2" outlineLevel="1">
      <c r="A386" s="288"/>
      <c r="B386" s="356" t="s">
        <v>711</v>
      </c>
      <c r="C386" s="388" t="str">
        <f>IF(OR(I386&lt;&gt;0,H386&lt;&gt;0),"x"," ")</f>
        <v xml:space="preserve"> </v>
      </c>
      <c r="D386" s="338" t="str">
        <f>VLOOKUP($B386,DG!A:C,2,)</f>
        <v>02.1361</v>
      </c>
      <c r="E386" s="366" t="str">
        <f>VLOOKUP($B386,DG!A:C,3,)</f>
        <v>V/c xà vào vị trí (cư ly &lt;=100m)</v>
      </c>
      <c r="F386" s="338" t="str">
        <f>VLOOKUP($B386,DG!A:D,4,0)</f>
        <v>tấn</v>
      </c>
      <c r="G386" s="353"/>
      <c r="H386" s="354"/>
      <c r="I386" s="354"/>
      <c r="J386" s="354"/>
      <c r="K386" s="354"/>
      <c r="L386" s="354"/>
      <c r="M386" s="332"/>
      <c r="N386" s="340"/>
      <c r="O386" s="341"/>
    </row>
    <row r="387" spans="1:15" ht="16.2" outlineLevel="1">
      <c r="A387" s="288"/>
      <c r="B387" s="356" t="s">
        <v>447</v>
      </c>
      <c r="C387" s="388" t="str">
        <f>IF(OR(I387&lt;&gt;0,H387&lt;&gt;0),"x"," ")</f>
        <v xml:space="preserve"> </v>
      </c>
      <c r="D387" s="338" t="str">
        <f>VLOOKUP($B387,DG!A:C,2,)</f>
        <v>02.1482</v>
      </c>
      <c r="E387" s="366" t="str">
        <f>VLOOKUP($B387,DG!A:C,3,)</f>
        <v>V/c dụng cụ thi công vào vị trí (cự ly &lt;=100m)</v>
      </c>
      <c r="F387" s="338" t="str">
        <f>VLOOKUP($B387,DG!A:D,4,0)</f>
        <v>tấn</v>
      </c>
      <c r="G387" s="357"/>
      <c r="H387" s="354"/>
      <c r="I387" s="354"/>
      <c r="J387" s="354"/>
      <c r="K387" s="354"/>
      <c r="L387" s="354"/>
      <c r="M387" s="332"/>
      <c r="N387" s="340"/>
      <c r="O387" s="341"/>
    </row>
    <row r="388" spans="1:15" ht="16.2" outlineLevel="1">
      <c r="A388" s="342" t="s">
        <v>765</v>
      </c>
      <c r="B388" s="343" t="s">
        <v>765</v>
      </c>
      <c r="C388" s="388" t="str">
        <f>IF(OR(I388&lt;&gt;0,H388&lt;&gt;0),"x"," ")</f>
        <v xml:space="preserve"> </v>
      </c>
      <c r="D388" s="345"/>
      <c r="E388" s="346" t="s">
        <v>766</v>
      </c>
      <c r="F388" s="347" t="s">
        <v>285</v>
      </c>
      <c r="G388" s="348"/>
      <c r="H388" s="349">
        <f>IFERROR(HLOOKUP(B388,'BKT-ThuHoi'!$5:$183,179,0),0)</f>
        <v>0</v>
      </c>
      <c r="I388" s="350">
        <f>H388+J388-K388</f>
        <v>0</v>
      </c>
      <c r="J388" s="350"/>
      <c r="K388" s="350"/>
      <c r="L388" s="350"/>
      <c r="M388" s="332"/>
      <c r="N388" s="340"/>
      <c r="O388" s="341"/>
    </row>
    <row r="389" spans="1:15" ht="16.2" outlineLevel="1">
      <c r="A389" s="288"/>
      <c r="B389" s="351" t="s">
        <v>704</v>
      </c>
      <c r="C389" s="388" t="str">
        <f>IF(OR(I389&lt;&gt;0,H389&lt;&gt;0),"x"," ")</f>
        <v xml:space="preserve"> </v>
      </c>
      <c r="D389" s="338"/>
      <c r="E389" s="358" t="str">
        <f>VLOOKUP($B389,DG!A:D,DG!$C$2,)</f>
        <v>Sắt góc L75 x75 x8</v>
      </c>
      <c r="F389" s="338" t="str">
        <f>VLOOKUP($B389,DG!A:D,DG!$D$2,)</f>
        <v>kg</v>
      </c>
      <c r="G389" s="357">
        <f>9.02*(2.4+3*0.07)</f>
        <v>23.542199999999998</v>
      </c>
      <c r="H389" s="360">
        <f>H$388*$G389</f>
        <v>0</v>
      </c>
      <c r="I389" s="360"/>
      <c r="J389" s="360"/>
      <c r="K389" s="360"/>
      <c r="L389" s="360"/>
      <c r="M389" s="332"/>
      <c r="N389" s="340"/>
      <c r="O389" s="341"/>
    </row>
    <row r="390" spans="1:15" ht="16.2" outlineLevel="1">
      <c r="A390" s="288"/>
      <c r="B390" s="351" t="s">
        <v>717</v>
      </c>
      <c r="C390" s="388" t="str">
        <f>IF(OR(I390&lt;&gt;0,H390&lt;&gt;0),"x"," ")</f>
        <v xml:space="preserve"> </v>
      </c>
      <c r="D390" s="338"/>
      <c r="E390" s="358" t="str">
        <f>VLOOKUP($B390,DG!A:D,DG!$C$2,)</f>
        <v>Boulon 16x300</v>
      </c>
      <c r="F390" s="338" t="str">
        <f>VLOOKUP($B390,DG!A:D,DG!$D$2,)</f>
        <v>bộ</v>
      </c>
      <c r="G390" s="359">
        <v>2</v>
      </c>
      <c r="H390" s="360">
        <f>H$388*$G390</f>
        <v>0</v>
      </c>
      <c r="I390" s="360"/>
      <c r="J390" s="360"/>
      <c r="K390" s="360"/>
      <c r="L390" s="360"/>
      <c r="M390" s="332"/>
      <c r="N390" s="340"/>
      <c r="O390" s="341"/>
    </row>
    <row r="391" spans="1:15" ht="16.2" outlineLevel="1">
      <c r="A391" s="288"/>
      <c r="B391" s="351" t="s">
        <v>767</v>
      </c>
      <c r="C391" s="388" t="str">
        <f>IF(OR(I391&lt;&gt;0,H391&lt;&gt;0),"x"," ")</f>
        <v xml:space="preserve"> </v>
      </c>
      <c r="D391" s="338"/>
      <c r="E391" s="366" t="str">
        <f>VLOOKUP($B391,DG!A:D,DG!$C$2,)</f>
        <v>Lắp xà cột Pi loại ≤140kg/xà</v>
      </c>
      <c r="F391" s="338" t="str">
        <f>VLOOKUP($B391,DG!A:D,DG!$D$2,)</f>
        <v>bộ</v>
      </c>
      <c r="G391" s="359">
        <v>1</v>
      </c>
      <c r="H391" s="360">
        <f>H$388*$G391</f>
        <v>0</v>
      </c>
      <c r="I391" s="360"/>
      <c r="J391" s="360"/>
      <c r="K391" s="360"/>
      <c r="L391" s="360"/>
      <c r="M391" s="332"/>
      <c r="N391" s="340"/>
      <c r="O391" s="341"/>
    </row>
    <row r="392" spans="1:15" ht="16.2" outlineLevel="1">
      <c r="A392" s="288"/>
      <c r="B392" s="351" t="s">
        <v>710</v>
      </c>
      <c r="C392" s="388" t="str">
        <f>IF(OR(I392&lt;&gt;0,H392&lt;&gt;0),"x"," ")</f>
        <v xml:space="preserve"> </v>
      </c>
      <c r="D392" s="338"/>
      <c r="E392" s="366" t="str">
        <f>VLOOKUP($B392,DG!A:D,DG!$C$2,)</f>
        <v>Bốc dỡ xà, thép thanh</v>
      </c>
      <c r="F392" s="338" t="str">
        <f>VLOOKUP($B392,DG!A:D,DG!$D$2,)</f>
        <v>tấn</v>
      </c>
      <c r="G392" s="353">
        <f>G393</f>
        <v>2.7E-2</v>
      </c>
      <c r="H392" s="360">
        <f>H$388*$G392</f>
        <v>0</v>
      </c>
      <c r="I392" s="360"/>
      <c r="J392" s="360"/>
      <c r="K392" s="360"/>
      <c r="L392" s="360"/>
      <c r="M392" s="332"/>
      <c r="N392" s="340"/>
      <c r="O392" s="341"/>
    </row>
    <row r="393" spans="1:15" ht="16.2" outlineLevel="1">
      <c r="A393" s="288"/>
      <c r="B393" s="356" t="s">
        <v>711</v>
      </c>
      <c r="C393" s="388" t="str">
        <f>IF(OR(I393&lt;&gt;0,H393&lt;&gt;0),"x"," ")</f>
        <v xml:space="preserve"> </v>
      </c>
      <c r="D393" s="338" t="str">
        <f>VLOOKUP($B393,DG!A:C,2,)</f>
        <v>02.1361</v>
      </c>
      <c r="E393" s="366" t="str">
        <f>VLOOKUP($B393,DG!A:C,3,)</f>
        <v>V/c xà vào vị trí (cư ly &lt;=100m)</v>
      </c>
      <c r="F393" s="338" t="str">
        <f>VLOOKUP($B393,DG!A:D,4,0)</f>
        <v>tấn</v>
      </c>
      <c r="G393" s="353">
        <f>ROUND(SUM(G389:G390)*1.05/1000,3)</f>
        <v>2.7E-2</v>
      </c>
      <c r="H393" s="354"/>
      <c r="I393" s="354"/>
      <c r="J393" s="354"/>
      <c r="K393" s="354"/>
      <c r="L393" s="354"/>
      <c r="M393" s="332"/>
      <c r="N393" s="340"/>
      <c r="O393" s="341"/>
    </row>
    <row r="394" spans="1:15" ht="16.2" outlineLevel="1">
      <c r="A394" s="288"/>
      <c r="B394" s="356" t="s">
        <v>447</v>
      </c>
      <c r="C394" s="388" t="str">
        <f>IF(OR(I394&lt;&gt;0,H394&lt;&gt;0),"x"," ")</f>
        <v xml:space="preserve"> </v>
      </c>
      <c r="D394" s="338" t="str">
        <f>VLOOKUP($B394,DG!A:C,2,)</f>
        <v>02.1482</v>
      </c>
      <c r="E394" s="366" t="str">
        <f>VLOOKUP($B394,DG!A:C,3,)</f>
        <v>V/c dụng cụ thi công vào vị trí (cự ly &lt;=100m)</v>
      </c>
      <c r="F394" s="338" t="str">
        <f>VLOOKUP($B394,DG!A:D,4,0)</f>
        <v>tấn</v>
      </c>
      <c r="G394" s="357">
        <v>0.05</v>
      </c>
      <c r="H394" s="354"/>
      <c r="I394" s="354"/>
      <c r="J394" s="354"/>
      <c r="K394" s="354"/>
      <c r="L394" s="354"/>
      <c r="M394" s="332"/>
      <c r="N394" s="340"/>
      <c r="O394" s="341"/>
    </row>
    <row r="395" spans="1:15" ht="16.2" outlineLevel="1">
      <c r="A395" s="342" t="s">
        <v>768</v>
      </c>
      <c r="B395" s="343" t="s">
        <v>768</v>
      </c>
      <c r="C395" s="388" t="str">
        <f>IF(OR(I395&lt;&gt;0,H395&lt;&gt;0),"x"," ")</f>
        <v xml:space="preserve"> </v>
      </c>
      <c r="D395" s="345"/>
      <c r="E395" s="346" t="s">
        <v>769</v>
      </c>
      <c r="F395" s="347" t="s">
        <v>285</v>
      </c>
      <c r="G395" s="348"/>
      <c r="H395" s="349">
        <f>IFERROR(HLOOKUP(B395,'BKT-ThuHoi'!$5:$183,179,0),0)</f>
        <v>0</v>
      </c>
      <c r="I395" s="350">
        <f>H395+J395-K395</f>
        <v>0</v>
      </c>
      <c r="J395" s="350"/>
      <c r="K395" s="350"/>
      <c r="L395" s="350"/>
      <c r="M395" s="332"/>
      <c r="N395" s="340"/>
      <c r="O395" s="341"/>
    </row>
    <row r="396" spans="1:15" ht="16.2" outlineLevel="1">
      <c r="A396" s="288"/>
      <c r="B396" s="351" t="s">
        <v>704</v>
      </c>
      <c r="C396" s="388" t="str">
        <f>IF(OR(I396&lt;&gt;0,H396&lt;&gt;0),"x"," ")</f>
        <v xml:space="preserve"> </v>
      </c>
      <c r="D396" s="338"/>
      <c r="E396" s="358" t="str">
        <f>VLOOKUP($B396,DG!A:D,DG!$C$2,)</f>
        <v>Sắt góc L75 x75 x8</v>
      </c>
      <c r="F396" s="338" t="str">
        <f>VLOOKUP($B396,DG!A:D,DG!$D$2,)</f>
        <v>kg</v>
      </c>
      <c r="G396" s="357">
        <f>9.02*(2.4+3*0.1)*2</f>
        <v>48.707999999999998</v>
      </c>
      <c r="H396" s="360">
        <f>H$395*$G396</f>
        <v>0</v>
      </c>
      <c r="I396" s="360"/>
      <c r="J396" s="360"/>
      <c r="K396" s="360"/>
      <c r="L396" s="360"/>
      <c r="M396" s="332"/>
      <c r="N396" s="340"/>
      <c r="O396" s="341"/>
    </row>
    <row r="397" spans="1:15" ht="16.2" outlineLevel="1">
      <c r="A397" s="288"/>
      <c r="B397" s="351" t="s">
        <v>717</v>
      </c>
      <c r="C397" s="388" t="str">
        <f>IF(OR(I397&lt;&gt;0,H397&lt;&gt;0),"x"," ")</f>
        <v xml:space="preserve"> </v>
      </c>
      <c r="D397" s="338"/>
      <c r="E397" s="358" t="str">
        <f>VLOOKUP($B397,DG!A:D,DG!$C$2,)</f>
        <v>Boulon 16x300</v>
      </c>
      <c r="F397" s="338" t="str">
        <f>VLOOKUP($B397,DG!A:D,DG!$D$2,)</f>
        <v>bộ</v>
      </c>
      <c r="G397" s="359">
        <v>2</v>
      </c>
      <c r="H397" s="360">
        <f>H$395*$G397</f>
        <v>0</v>
      </c>
      <c r="I397" s="360"/>
      <c r="J397" s="360"/>
      <c r="K397" s="360"/>
      <c r="L397" s="360"/>
      <c r="M397" s="332"/>
      <c r="N397" s="340"/>
      <c r="O397" s="341"/>
    </row>
    <row r="398" spans="1:15" ht="16.2" outlineLevel="1">
      <c r="A398" s="288"/>
      <c r="B398" s="351" t="s">
        <v>770</v>
      </c>
      <c r="C398" s="388" t="str">
        <f>IF(OR(I398&lt;&gt;0,H398&lt;&gt;0),"x"," ")</f>
        <v xml:space="preserve"> </v>
      </c>
      <c r="D398" s="338"/>
      <c r="E398" s="358" t="str">
        <f>VLOOKUP($B398,DG!A:D,DG!$C$2,)</f>
        <v>Boulon 16x300VRS</v>
      </c>
      <c r="F398" s="338" t="str">
        <f>VLOOKUP($B398,DG!A:D,DG!$D$2,)</f>
        <v>bộ</v>
      </c>
      <c r="G398" s="359">
        <v>4</v>
      </c>
      <c r="H398" s="360">
        <f>H$395*$G398</f>
        <v>0</v>
      </c>
      <c r="I398" s="360"/>
      <c r="J398" s="360"/>
      <c r="K398" s="360"/>
      <c r="L398" s="360"/>
      <c r="M398" s="332"/>
      <c r="N398" s="340"/>
      <c r="O398" s="341"/>
    </row>
    <row r="399" spans="1:15" ht="16.2" outlineLevel="1">
      <c r="A399" s="288"/>
      <c r="B399" s="351" t="s">
        <v>767</v>
      </c>
      <c r="C399" s="388" t="str">
        <f>IF(OR(I399&lt;&gt;0,H399&lt;&gt;0),"x"," ")</f>
        <v xml:space="preserve"> </v>
      </c>
      <c r="D399" s="338"/>
      <c r="E399" s="366" t="str">
        <f>VLOOKUP($B399,DG!A:D,DG!$C$2,)</f>
        <v>Lắp xà cột Pi loại ≤140kg/xà</v>
      </c>
      <c r="F399" s="338" t="str">
        <f>VLOOKUP($B399,DG!A:D,DG!$D$2,)</f>
        <v>bộ</v>
      </c>
      <c r="G399" s="359">
        <v>1</v>
      </c>
      <c r="H399" s="360">
        <f>H$395*$G399</f>
        <v>0</v>
      </c>
      <c r="I399" s="360"/>
      <c r="J399" s="360"/>
      <c r="K399" s="360"/>
      <c r="L399" s="360"/>
      <c r="M399" s="332"/>
      <c r="N399" s="340"/>
      <c r="O399" s="341"/>
    </row>
    <row r="400" spans="1:15" ht="16.2" outlineLevel="1">
      <c r="A400" s="288"/>
      <c r="B400" s="351" t="s">
        <v>710</v>
      </c>
      <c r="C400" s="388" t="str">
        <f>IF(OR(I400&lt;&gt;0,H400&lt;&gt;0),"x"," ")</f>
        <v xml:space="preserve"> </v>
      </c>
      <c r="D400" s="338"/>
      <c r="E400" s="366" t="str">
        <f>VLOOKUP($B400,DG!A:D,DG!$C$2,)</f>
        <v>Bốc dỡ xà, thép thanh</v>
      </c>
      <c r="F400" s="338" t="str">
        <f>VLOOKUP($B400,DG!A:D,DG!$D$2,)</f>
        <v>tấn</v>
      </c>
      <c r="G400" s="353">
        <f>G401*0</f>
        <v>0</v>
      </c>
      <c r="H400" s="360">
        <f>H$395*$G400</f>
        <v>0</v>
      </c>
      <c r="I400" s="360"/>
      <c r="J400" s="360"/>
      <c r="K400" s="360"/>
      <c r="L400" s="360"/>
      <c r="M400" s="332"/>
      <c r="N400" s="340"/>
      <c r="O400" s="341"/>
    </row>
    <row r="401" spans="1:15" ht="16.2" outlineLevel="1">
      <c r="A401" s="288"/>
      <c r="B401" s="356" t="s">
        <v>711</v>
      </c>
      <c r="C401" s="388" t="str">
        <f>IF(OR(I401&lt;&gt;0,H401&lt;&gt;0),"x"," ")</f>
        <v xml:space="preserve"> </v>
      </c>
      <c r="D401" s="338" t="str">
        <f>VLOOKUP($B401,DG!A:C,2,)</f>
        <v>02.1361</v>
      </c>
      <c r="E401" s="366" t="str">
        <f>VLOOKUP($B401,DG!A:C,3,)</f>
        <v>V/c xà vào vị trí (cư ly &lt;=100m)</v>
      </c>
      <c r="F401" s="338" t="str">
        <f>VLOOKUP($B401,DG!A:D,4,0)</f>
        <v>tấn</v>
      </c>
      <c r="G401" s="353">
        <f>ROUND(SUM(G396:G396)*1.05/1000,3)*0</f>
        <v>0</v>
      </c>
      <c r="H401" s="354"/>
      <c r="I401" s="354"/>
      <c r="J401" s="354"/>
      <c r="K401" s="354"/>
      <c r="L401" s="354"/>
      <c r="M401" s="332"/>
      <c r="N401" s="340"/>
      <c r="O401" s="341"/>
    </row>
    <row r="402" spans="1:15" ht="16.2" outlineLevel="1">
      <c r="A402" s="288"/>
      <c r="B402" s="356" t="s">
        <v>447</v>
      </c>
      <c r="C402" s="388" t="str">
        <f>IF(OR(I402&lt;&gt;0,H402&lt;&gt;0),"x"," ")</f>
        <v xml:space="preserve"> </v>
      </c>
      <c r="D402" s="338" t="str">
        <f>VLOOKUP($B402,DG!A:C,2,)</f>
        <v>02.1482</v>
      </c>
      <c r="E402" s="366" t="str">
        <f>VLOOKUP($B402,DG!A:C,3,)</f>
        <v>V/c dụng cụ thi công vào vị trí (cự ly &lt;=100m)</v>
      </c>
      <c r="F402" s="338" t="str">
        <f>VLOOKUP($B402,DG!A:D,4,0)</f>
        <v>tấn</v>
      </c>
      <c r="G402" s="357">
        <f>0.05*0</f>
        <v>0</v>
      </c>
      <c r="H402" s="354"/>
      <c r="I402" s="354"/>
      <c r="J402" s="354"/>
      <c r="K402" s="354"/>
      <c r="L402" s="354"/>
      <c r="M402" s="332"/>
      <c r="N402" s="340"/>
      <c r="O402" s="341"/>
    </row>
    <row r="403" spans="1:15" ht="16.2" outlineLevel="1">
      <c r="A403" s="288" t="s">
        <v>771</v>
      </c>
      <c r="B403" s="343" t="s">
        <v>771</v>
      </c>
      <c r="C403" s="388" t="str">
        <f>IF(OR(I403&lt;&gt;0,H403&lt;&gt;0),"x"," ")</f>
        <v xml:space="preserve"> </v>
      </c>
      <c r="D403" s="345"/>
      <c r="E403" s="346" t="s">
        <v>772</v>
      </c>
      <c r="F403" s="347" t="s">
        <v>285</v>
      </c>
      <c r="G403" s="348"/>
      <c r="H403" s="349">
        <f>IFERROR(HLOOKUP(B403,'BKT-ThuHoi'!$5:$183,179,0),0)</f>
        <v>0</v>
      </c>
      <c r="I403" s="350">
        <f>H403+J403-K403</f>
        <v>0</v>
      </c>
      <c r="J403" s="350"/>
      <c r="K403" s="350"/>
      <c r="L403" s="350"/>
      <c r="M403" s="332"/>
      <c r="N403" s="340"/>
      <c r="O403" s="341"/>
    </row>
    <row r="404" spans="1:15" ht="16.2" outlineLevel="1">
      <c r="A404" s="288"/>
      <c r="B404" s="351" t="s">
        <v>704</v>
      </c>
      <c r="C404" s="388" t="str">
        <f>IF(OR(I404&lt;&gt;0,H404&lt;&gt;0),"x"," ")</f>
        <v xml:space="preserve"> </v>
      </c>
      <c r="D404" s="338"/>
      <c r="E404" s="358" t="s">
        <v>773</v>
      </c>
      <c r="F404" s="338" t="s">
        <v>614</v>
      </c>
      <c r="G404" s="357">
        <f>9.02*(2.6+3*0.07)</f>
        <v>25.3462</v>
      </c>
      <c r="H404" s="360">
        <f>H$402*$G404</f>
        <v>0</v>
      </c>
      <c r="I404" s="360">
        <f>$I$403*G404</f>
        <v>0</v>
      </c>
      <c r="J404" s="360"/>
      <c r="K404" s="360">
        <f>$K$403*G404</f>
        <v>0</v>
      </c>
      <c r="L404" s="360"/>
      <c r="M404" s="332"/>
      <c r="N404" s="340"/>
      <c r="O404" s="341"/>
    </row>
    <row r="405" spans="1:15" ht="16.2" outlineLevel="1">
      <c r="A405" s="288"/>
      <c r="B405" s="351" t="s">
        <v>707</v>
      </c>
      <c r="C405" s="388" t="str">
        <f>IF(OR(I405&lt;&gt;0,H405&lt;&gt;0),"x"," ")</f>
        <v xml:space="preserve"> </v>
      </c>
      <c r="D405" s="338"/>
      <c r="E405" s="358" t="s">
        <v>774</v>
      </c>
      <c r="F405" s="338" t="s">
        <v>775</v>
      </c>
      <c r="G405" s="359">
        <v>2</v>
      </c>
      <c r="H405" s="360">
        <f>H$402*$G405</f>
        <v>0</v>
      </c>
      <c r="I405" s="360">
        <f>$I$403*G405</f>
        <v>0</v>
      </c>
      <c r="J405" s="360"/>
      <c r="K405" s="360">
        <f>$K$403*G405</f>
        <v>0</v>
      </c>
      <c r="L405" s="360"/>
      <c r="M405" s="332"/>
      <c r="N405" s="340"/>
      <c r="O405" s="341"/>
    </row>
    <row r="406" spans="1:15" ht="16.2" outlineLevel="1">
      <c r="A406" s="288"/>
      <c r="B406" s="351" t="s">
        <v>767</v>
      </c>
      <c r="C406" s="388" t="str">
        <f>IF(OR(I406&lt;&gt;0,H406&lt;&gt;0),"x"," ")</f>
        <v xml:space="preserve"> </v>
      </c>
      <c r="D406" s="338"/>
      <c r="E406" s="366" t="s">
        <v>776</v>
      </c>
      <c r="F406" s="338" t="s">
        <v>775</v>
      </c>
      <c r="G406" s="357">
        <v>1</v>
      </c>
      <c r="H406" s="360">
        <f>H$402*$G406</f>
        <v>0</v>
      </c>
      <c r="I406" s="360">
        <f>$I$403*G406</f>
        <v>0</v>
      </c>
      <c r="J406" s="360"/>
      <c r="K406" s="360">
        <f>$K$403*G406</f>
        <v>0</v>
      </c>
      <c r="L406" s="360"/>
      <c r="M406" s="332"/>
      <c r="N406" s="340"/>
      <c r="O406" s="341"/>
    </row>
    <row r="407" spans="1:15" ht="16.2" outlineLevel="1">
      <c r="A407" s="288"/>
      <c r="B407" s="351" t="s">
        <v>710</v>
      </c>
      <c r="C407" s="388" t="str">
        <f>IF(OR(I407&lt;&gt;0,H407&lt;&gt;0),"x"," ")</f>
        <v xml:space="preserve"> </v>
      </c>
      <c r="D407" s="338"/>
      <c r="E407" s="366" t="s">
        <v>777</v>
      </c>
      <c r="F407" s="338" t="s">
        <v>778</v>
      </c>
      <c r="G407" s="353">
        <f>G408</f>
        <v>0</v>
      </c>
      <c r="H407" s="360">
        <f>H$402*$G407</f>
        <v>0</v>
      </c>
      <c r="I407" s="360">
        <f>$I$403*G407</f>
        <v>0</v>
      </c>
      <c r="J407" s="360"/>
      <c r="K407" s="360">
        <f>$K$403*G407</f>
        <v>0</v>
      </c>
      <c r="L407" s="360"/>
      <c r="M407" s="332"/>
      <c r="N407" s="340"/>
      <c r="O407" s="341"/>
    </row>
    <row r="408" spans="1:15" ht="16.2" outlineLevel="1">
      <c r="A408" s="288"/>
      <c r="B408" s="356" t="s">
        <v>711</v>
      </c>
      <c r="C408" s="388" t="str">
        <f>IF(OR(I408&lt;&gt;0,H408&lt;&gt;0),"x"," ")</f>
        <v xml:space="preserve"> </v>
      </c>
      <c r="D408" s="338" t="s">
        <v>779</v>
      </c>
      <c r="E408" s="366" t="s">
        <v>780</v>
      </c>
      <c r="F408" s="338" t="s">
        <v>778</v>
      </c>
      <c r="G408" s="353"/>
      <c r="H408" s="354"/>
      <c r="I408" s="354"/>
      <c r="J408" s="354"/>
      <c r="K408" s="354"/>
      <c r="L408" s="354"/>
      <c r="M408" s="332"/>
      <c r="N408" s="340"/>
      <c r="O408" s="341"/>
    </row>
    <row r="409" spans="1:15" ht="16.2" outlineLevel="1">
      <c r="A409" s="288"/>
      <c r="B409" s="356" t="s">
        <v>447</v>
      </c>
      <c r="C409" s="388" t="str">
        <f>IF(OR(I409&lt;&gt;0,H409&lt;&gt;0),"x"," ")</f>
        <v xml:space="preserve"> </v>
      </c>
      <c r="D409" s="338" t="s">
        <v>781</v>
      </c>
      <c r="E409" s="366" t="s">
        <v>782</v>
      </c>
      <c r="F409" s="338" t="s">
        <v>778</v>
      </c>
      <c r="G409" s="357"/>
      <c r="H409" s="354"/>
      <c r="I409" s="354"/>
      <c r="J409" s="354"/>
      <c r="K409" s="354"/>
      <c r="L409" s="354"/>
      <c r="M409" s="332"/>
      <c r="N409" s="340"/>
      <c r="O409" s="341"/>
    </row>
    <row r="410" spans="1:15" ht="16.2" outlineLevel="1">
      <c r="A410" s="304" t="s">
        <v>783</v>
      </c>
      <c r="B410" s="373" t="s">
        <v>783</v>
      </c>
      <c r="C410" s="388" t="str">
        <f>IF(OR(I410&lt;&gt;0,H410&lt;&gt;0),"x"," ")</f>
        <v xml:space="preserve"> </v>
      </c>
      <c r="D410" s="345"/>
      <c r="E410" s="346" t="s">
        <v>784</v>
      </c>
      <c r="F410" s="347" t="s">
        <v>285</v>
      </c>
      <c r="G410" s="348"/>
      <c r="H410" s="349">
        <f>IFERROR(HLOOKUP(B410,'BKT-ThuHoi'!$5:$183,179,0),0)</f>
        <v>0</v>
      </c>
      <c r="I410" s="350">
        <f>H410+J410-K410</f>
        <v>0</v>
      </c>
      <c r="J410" s="350"/>
      <c r="K410" s="350"/>
      <c r="L410" s="350"/>
      <c r="M410" s="340"/>
      <c r="N410" s="340"/>
      <c r="O410" s="341"/>
    </row>
    <row r="411" spans="1:15" ht="16.2" outlineLevel="1">
      <c r="B411" s="351" t="s">
        <v>704</v>
      </c>
      <c r="C411" s="388" t="str">
        <f>IF(OR(I411&lt;&gt;0,H411&lt;&gt;0),"x"," ")</f>
        <v xml:space="preserve"> </v>
      </c>
      <c r="D411" s="338"/>
      <c r="E411" s="358" t="s">
        <v>773</v>
      </c>
      <c r="F411" s="338" t="s">
        <v>614</v>
      </c>
      <c r="G411" s="357">
        <f>9.02*(2.6+3*0.07)*2</f>
        <v>50.692399999999999</v>
      </c>
      <c r="H411" s="379">
        <f>$H$410*$G411</f>
        <v>0</v>
      </c>
      <c r="I411" s="360">
        <f>$I$410*G411</f>
        <v>0</v>
      </c>
      <c r="J411" s="360">
        <f>$J$410*G411</f>
        <v>0</v>
      </c>
      <c r="K411" s="379">
        <f>$K$410*G411</f>
        <v>0</v>
      </c>
      <c r="L411" s="360"/>
      <c r="M411" s="340"/>
      <c r="N411" s="340"/>
      <c r="O411" s="341"/>
    </row>
    <row r="412" spans="1:15" ht="16.2" outlineLevel="1">
      <c r="B412" s="351" t="s">
        <v>707</v>
      </c>
      <c r="C412" s="388" t="str">
        <f>IF(OR(I412&lt;&gt;0,H412&lt;&gt;0),"x"," ")</f>
        <v xml:space="preserve"> </v>
      </c>
      <c r="D412" s="338"/>
      <c r="E412" s="358" t="s">
        <v>774</v>
      </c>
      <c r="F412" s="338" t="s">
        <v>775</v>
      </c>
      <c r="G412" s="359">
        <v>2</v>
      </c>
      <c r="H412" s="360">
        <f>$H$410*$G412</f>
        <v>0</v>
      </c>
      <c r="I412" s="360">
        <f>$I$410*G412</f>
        <v>0</v>
      </c>
      <c r="J412" s="360">
        <f>$J$410*G412</f>
        <v>0</v>
      </c>
      <c r="K412" s="360">
        <f>$K$410*G412</f>
        <v>0</v>
      </c>
      <c r="L412" s="360"/>
      <c r="M412" s="340"/>
      <c r="N412" s="340"/>
      <c r="O412" s="341"/>
    </row>
    <row r="413" spans="1:15" ht="16.2" outlineLevel="1">
      <c r="B413" s="351" t="s">
        <v>770</v>
      </c>
      <c r="C413" s="388" t="str">
        <f>IF(OR(I413&lt;&gt;0,H413&lt;&gt;0),"x"," ")</f>
        <v xml:space="preserve"> </v>
      </c>
      <c r="D413" s="338"/>
      <c r="E413" s="358" t="s">
        <v>785</v>
      </c>
      <c r="F413" s="338" t="s">
        <v>775</v>
      </c>
      <c r="G413" s="359">
        <v>2</v>
      </c>
      <c r="H413" s="360">
        <f>$H$410*$G413</f>
        <v>0</v>
      </c>
      <c r="I413" s="360">
        <f>$I$410*G413</f>
        <v>0</v>
      </c>
      <c r="J413" s="360">
        <f>$J$410*G413</f>
        <v>0</v>
      </c>
      <c r="K413" s="360">
        <f>$K$410*G413</f>
        <v>0</v>
      </c>
      <c r="L413" s="360"/>
      <c r="M413" s="340"/>
      <c r="N413" s="340"/>
      <c r="O413" s="341"/>
    </row>
    <row r="414" spans="1:15" ht="16.2" outlineLevel="1">
      <c r="B414" s="351" t="s">
        <v>767</v>
      </c>
      <c r="C414" s="388" t="str">
        <f>IF(OR(I414&lt;&gt;0,H414&lt;&gt;0),"x"," ")</f>
        <v xml:space="preserve"> </v>
      </c>
      <c r="D414" s="396"/>
      <c r="E414" s="366" t="s">
        <v>776</v>
      </c>
      <c r="F414" s="338" t="s">
        <v>775</v>
      </c>
      <c r="G414" s="357">
        <v>1</v>
      </c>
      <c r="H414" s="360">
        <f>$H$410*$G414</f>
        <v>0</v>
      </c>
      <c r="I414" s="360">
        <f>$I$410*G414</f>
        <v>0</v>
      </c>
      <c r="J414" s="360">
        <f>$J$410*G414</f>
        <v>0</v>
      </c>
      <c r="K414" s="360">
        <f>$K$410*G414</f>
        <v>0</v>
      </c>
      <c r="L414" s="360"/>
      <c r="M414" s="340"/>
      <c r="N414" s="340"/>
      <c r="O414" s="341"/>
    </row>
    <row r="415" spans="1:15" ht="16.2" outlineLevel="1">
      <c r="A415" s="288"/>
      <c r="B415" s="351" t="s">
        <v>710</v>
      </c>
      <c r="C415" s="388" t="str">
        <f>IF(OR(I415&lt;&gt;0,H415&lt;&gt;0),"x"," ")</f>
        <v xml:space="preserve"> </v>
      </c>
      <c r="D415" s="338"/>
      <c r="E415" s="366" t="s">
        <v>777</v>
      </c>
      <c r="F415" s="338" t="s">
        <v>778</v>
      </c>
      <c r="G415" s="353"/>
      <c r="H415" s="360">
        <f>H$402*$G415</f>
        <v>0</v>
      </c>
      <c r="I415" s="360">
        <f>$I$410*G415</f>
        <v>0</v>
      </c>
      <c r="J415" s="360">
        <f>$J$410*G415</f>
        <v>0</v>
      </c>
      <c r="K415" s="360">
        <f>$K$410*G415</f>
        <v>0</v>
      </c>
      <c r="L415" s="360"/>
      <c r="M415" s="332"/>
      <c r="N415" s="340"/>
      <c r="O415" s="341"/>
    </row>
    <row r="416" spans="1:15" ht="16.2" outlineLevel="1">
      <c r="A416" s="288"/>
      <c r="B416" s="356" t="s">
        <v>711</v>
      </c>
      <c r="C416" s="388" t="str">
        <f>IF(OR(I416&lt;&gt;0,H416&lt;&gt;0),"x"," ")</f>
        <v xml:space="preserve"> </v>
      </c>
      <c r="D416" s="338" t="s">
        <v>779</v>
      </c>
      <c r="E416" s="366" t="s">
        <v>780</v>
      </c>
      <c r="F416" s="338" t="s">
        <v>778</v>
      </c>
      <c r="G416" s="353"/>
      <c r="H416" s="354"/>
      <c r="I416" s="354"/>
      <c r="J416" s="354"/>
      <c r="K416" s="354"/>
      <c r="L416" s="354"/>
      <c r="M416" s="332"/>
      <c r="N416" s="340"/>
      <c r="O416" s="341"/>
    </row>
    <row r="417" spans="1:15" ht="16.2" outlineLevel="1">
      <c r="A417" s="288"/>
      <c r="B417" s="356" t="s">
        <v>447</v>
      </c>
      <c r="C417" s="388" t="str">
        <f>IF(OR(I417&lt;&gt;0,H417&lt;&gt;0),"x"," ")</f>
        <v xml:space="preserve"> </v>
      </c>
      <c r="D417" s="338" t="s">
        <v>781</v>
      </c>
      <c r="E417" s="366" t="s">
        <v>782</v>
      </c>
      <c r="F417" s="338" t="s">
        <v>778</v>
      </c>
      <c r="G417" s="357"/>
      <c r="H417" s="354"/>
      <c r="I417" s="354"/>
      <c r="J417" s="354"/>
      <c r="K417" s="354"/>
      <c r="L417" s="354"/>
      <c r="M417" s="332"/>
      <c r="N417" s="340"/>
      <c r="O417" s="341"/>
    </row>
    <row r="418" spans="1:15" ht="16.2" outlineLevel="1">
      <c r="A418" s="342" t="s">
        <v>786</v>
      </c>
      <c r="B418" s="343" t="s">
        <v>786</v>
      </c>
      <c r="C418" s="388" t="str">
        <f>IF(OR(I418&lt;&gt;0,H418&lt;&gt;0),"x"," ")</f>
        <v xml:space="preserve"> </v>
      </c>
      <c r="D418" s="345"/>
      <c r="E418" s="346" t="s">
        <v>787</v>
      </c>
      <c r="F418" s="347" t="s">
        <v>285</v>
      </c>
      <c r="G418" s="348"/>
      <c r="H418" s="349">
        <f>IFERROR(HLOOKUP(B418,'BKT-ThuHoi'!$5:$183,179,0),0)</f>
        <v>0</v>
      </c>
      <c r="I418" s="350">
        <f>H418+J418-K418</f>
        <v>0</v>
      </c>
      <c r="J418" s="350"/>
      <c r="K418" s="350"/>
      <c r="L418" s="350"/>
      <c r="M418" s="332"/>
      <c r="N418" s="340"/>
      <c r="O418" s="341"/>
    </row>
    <row r="419" spans="1:15" ht="16.2" outlineLevel="1">
      <c r="A419" s="288"/>
      <c r="B419" s="351" t="s">
        <v>704</v>
      </c>
      <c r="C419" s="388" t="str">
        <f>IF(OR(I419&lt;&gt;0,H419&lt;&gt;0),"x"," ")</f>
        <v xml:space="preserve"> </v>
      </c>
      <c r="D419" s="338"/>
      <c r="E419" s="358" t="str">
        <f>VLOOKUP($B419,DG!A:D,DG!$C$2,)</f>
        <v>Sắt góc L75 x75 x8</v>
      </c>
      <c r="F419" s="338" t="str">
        <f>VLOOKUP($B419,DG!A:D,DG!$D$2,)</f>
        <v>kg</v>
      </c>
      <c r="G419" s="357">
        <f>9.02*(2.8+3*0.1)*2</f>
        <v>55.923999999999992</v>
      </c>
      <c r="H419" s="360">
        <f>H$418*$G419</f>
        <v>0</v>
      </c>
      <c r="I419" s="360"/>
      <c r="J419" s="360"/>
      <c r="K419" s="360"/>
      <c r="L419" s="360"/>
      <c r="M419" s="332"/>
      <c r="N419" s="340"/>
      <c r="O419" s="341"/>
    </row>
    <row r="420" spans="1:15" ht="16.2" outlineLevel="1">
      <c r="A420" s="288"/>
      <c r="B420" s="351" t="s">
        <v>705</v>
      </c>
      <c r="C420" s="388" t="str">
        <f>IF(OR(I420&lt;&gt;0,H420&lt;&gt;0),"x"," ")</f>
        <v xml:space="preserve"> </v>
      </c>
      <c r="D420" s="338"/>
      <c r="E420" s="358" t="str">
        <f>VLOOKUP($B420,DG!A:D,DG!$C$2,)</f>
        <v>Sắt góc L50 x50 x5</v>
      </c>
      <c r="F420" s="338" t="str">
        <f>VLOOKUP($B420,DG!A:D,DG!$D$2,)</f>
        <v>kg</v>
      </c>
      <c r="G420" s="357">
        <f>0.92*3.77*4</f>
        <v>13.873600000000001</v>
      </c>
      <c r="H420" s="360">
        <f>H$418*$G420</f>
        <v>0</v>
      </c>
      <c r="I420" s="360"/>
      <c r="J420" s="360"/>
      <c r="K420" s="360"/>
      <c r="L420" s="360"/>
      <c r="M420" s="332"/>
      <c r="N420" s="340"/>
      <c r="O420" s="341"/>
    </row>
    <row r="421" spans="1:15" ht="16.2" outlineLevel="1">
      <c r="A421" s="288"/>
      <c r="B421" s="351" t="s">
        <v>705</v>
      </c>
      <c r="C421" s="388" t="str">
        <f>IF(OR(I421&lt;&gt;0,H421&lt;&gt;0),"x"," ")</f>
        <v xml:space="preserve"> </v>
      </c>
      <c r="D421" s="338"/>
      <c r="E421" s="358" t="s">
        <v>788</v>
      </c>
      <c r="F421" s="338" t="str">
        <f>VLOOKUP($B421,DG!A:D,DG!$D$2,)</f>
        <v>kg</v>
      </c>
      <c r="G421" s="357">
        <f>2*0.45*6</f>
        <v>5.4</v>
      </c>
      <c r="H421" s="360">
        <f>H$418*$G421</f>
        <v>0</v>
      </c>
      <c r="I421" s="360"/>
      <c r="J421" s="360"/>
      <c r="K421" s="360"/>
      <c r="L421" s="360"/>
      <c r="M421" s="332"/>
      <c r="N421" s="340"/>
      <c r="O421" s="341"/>
    </row>
    <row r="422" spans="1:15" ht="16.2" outlineLevel="1">
      <c r="A422" s="288"/>
      <c r="B422" s="351" t="s">
        <v>717</v>
      </c>
      <c r="C422" s="388" t="str">
        <f>IF(OR(I422&lt;&gt;0,H422&lt;&gt;0),"x"," ")</f>
        <v xml:space="preserve"> </v>
      </c>
      <c r="D422" s="338"/>
      <c r="E422" s="358" t="str">
        <f>VLOOKUP($B422,DG!A:D,DG!$C$2,)</f>
        <v>Boulon 16x300</v>
      </c>
      <c r="F422" s="338" t="str">
        <f>VLOOKUP($B422,DG!A:D,DG!$D$2,)</f>
        <v>bộ</v>
      </c>
      <c r="G422" s="359">
        <v>4</v>
      </c>
      <c r="H422" s="360">
        <f>H$418*$G422</f>
        <v>0</v>
      </c>
      <c r="I422" s="360"/>
      <c r="J422" s="360"/>
      <c r="K422" s="360"/>
      <c r="L422" s="360"/>
      <c r="M422" s="332"/>
      <c r="N422" s="340"/>
      <c r="O422" s="341"/>
    </row>
    <row r="423" spans="1:15" ht="16.2" outlineLevel="1">
      <c r="A423" s="288"/>
      <c r="B423" s="351" t="s">
        <v>770</v>
      </c>
      <c r="C423" s="388" t="str">
        <f>IF(OR(I423&lt;&gt;0,H423&lt;&gt;0),"x"," ")</f>
        <v xml:space="preserve"> </v>
      </c>
      <c r="D423" s="338"/>
      <c r="E423" s="358" t="str">
        <f>VLOOKUP($B423,DG!A:D,DG!$C$2,)</f>
        <v>Boulon 16x300VRS</v>
      </c>
      <c r="F423" s="338" t="str">
        <f>VLOOKUP($B423,DG!A:D,DG!$D$2,)</f>
        <v>bộ</v>
      </c>
      <c r="G423" s="359">
        <v>4</v>
      </c>
      <c r="H423" s="360">
        <f>H$418*$G423</f>
        <v>0</v>
      </c>
      <c r="I423" s="360"/>
      <c r="J423" s="360"/>
      <c r="K423" s="360"/>
      <c r="L423" s="360"/>
      <c r="M423" s="332"/>
      <c r="N423" s="340"/>
      <c r="O423" s="341"/>
    </row>
    <row r="424" spans="1:15" ht="16.2" outlineLevel="1">
      <c r="A424" s="288"/>
      <c r="B424" s="351" t="s">
        <v>767</v>
      </c>
      <c r="C424" s="388" t="str">
        <f>IF(OR(I424&lt;&gt;0,H424&lt;&gt;0),"x"," ")</f>
        <v xml:space="preserve"> </v>
      </c>
      <c r="D424" s="338"/>
      <c r="E424" s="366" t="str">
        <f>VLOOKUP($B424,DG!A:D,DG!$C$2,)</f>
        <v>Lắp xà cột Pi loại ≤140kg/xà</v>
      </c>
      <c r="F424" s="338" t="str">
        <f>VLOOKUP($B424,DG!A:D,DG!$D$2,)</f>
        <v>bộ</v>
      </c>
      <c r="G424" s="359">
        <v>1</v>
      </c>
      <c r="H424" s="360"/>
      <c r="I424" s="360"/>
      <c r="J424" s="360"/>
      <c r="K424" s="360"/>
      <c r="L424" s="360"/>
      <c r="M424" s="332"/>
      <c r="N424" s="340"/>
      <c r="O424" s="341"/>
    </row>
    <row r="425" spans="1:15" ht="16.2" outlineLevel="1">
      <c r="A425" s="288"/>
      <c r="B425" s="351" t="s">
        <v>710</v>
      </c>
      <c r="C425" s="388" t="str">
        <f>IF(OR(I425&lt;&gt;0,H425&lt;&gt;0),"x"," ")</f>
        <v xml:space="preserve"> </v>
      </c>
      <c r="D425" s="338"/>
      <c r="E425" s="366" t="str">
        <f>VLOOKUP($B425,DG!A:D,DG!$C$2,)</f>
        <v>Bốc dỡ xà, thép thanh</v>
      </c>
      <c r="F425" s="338" t="str">
        <f>VLOOKUP($B425,DG!A:D,DG!$D$2,)</f>
        <v>tấn</v>
      </c>
      <c r="G425" s="353">
        <f>G426</f>
        <v>7.9000000000000001E-2</v>
      </c>
      <c r="H425" s="360"/>
      <c r="I425" s="360"/>
      <c r="J425" s="360"/>
      <c r="K425" s="360"/>
      <c r="L425" s="360"/>
      <c r="M425" s="332"/>
      <c r="N425" s="340"/>
      <c r="O425" s="341"/>
    </row>
    <row r="426" spans="1:15" ht="16.2" outlineLevel="1">
      <c r="A426" s="288"/>
      <c r="B426" s="356" t="s">
        <v>711</v>
      </c>
      <c r="C426" s="388" t="str">
        <f>IF(OR(I426&lt;&gt;0,H426&lt;&gt;0),"x"," ")</f>
        <v xml:space="preserve"> </v>
      </c>
      <c r="D426" s="338" t="str">
        <f>VLOOKUP($B426,DG!A:C,2,)</f>
        <v>02.1361</v>
      </c>
      <c r="E426" s="366" t="str">
        <f>VLOOKUP($B426,DG!A:C,3,)</f>
        <v>V/c xà vào vị trí (cư ly &lt;=100m)</v>
      </c>
      <c r="F426" s="338" t="str">
        <f>VLOOKUP($B426,DG!A:D,4,0)</f>
        <v>tấn</v>
      </c>
      <c r="G426" s="353">
        <f>ROUND(SUM(G419:G421)*1.05/1000,3)</f>
        <v>7.9000000000000001E-2</v>
      </c>
      <c r="H426" s="354"/>
      <c r="I426" s="354"/>
      <c r="J426" s="354"/>
      <c r="K426" s="354"/>
      <c r="L426" s="354"/>
      <c r="M426" s="332"/>
      <c r="N426" s="340"/>
      <c r="O426" s="341"/>
    </row>
    <row r="427" spans="1:15" ht="16.2" outlineLevel="1">
      <c r="A427" s="288"/>
      <c r="B427" s="356" t="s">
        <v>447</v>
      </c>
      <c r="C427" s="388" t="str">
        <f>IF(OR(I427&lt;&gt;0,H427&lt;&gt;0),"x"," ")</f>
        <v xml:space="preserve"> </v>
      </c>
      <c r="D427" s="338" t="str">
        <f>VLOOKUP($B427,DG!A:C,2,)</f>
        <v>02.1482</v>
      </c>
      <c r="E427" s="366" t="str">
        <f>VLOOKUP($B427,DG!A:C,3,)</f>
        <v>V/c dụng cụ thi công vào vị trí (cự ly &lt;=100m)</v>
      </c>
      <c r="F427" s="338" t="str">
        <f>VLOOKUP($B427,DG!A:D,4,0)</f>
        <v>tấn</v>
      </c>
      <c r="G427" s="357">
        <v>0.05</v>
      </c>
      <c r="H427" s="354"/>
      <c r="I427" s="354"/>
      <c r="J427" s="354"/>
      <c r="K427" s="354"/>
      <c r="L427" s="354"/>
      <c r="M427" s="332"/>
      <c r="N427" s="340"/>
      <c r="O427" s="341"/>
    </row>
    <row r="428" spans="1:15" ht="16.2" outlineLevel="1">
      <c r="A428" s="342" t="s">
        <v>789</v>
      </c>
      <c r="B428" s="343" t="s">
        <v>789</v>
      </c>
      <c r="C428" s="388" t="str">
        <f>IF(OR(I428&lt;&gt;0,H428&lt;&gt;0),"x"," ")</f>
        <v xml:space="preserve"> </v>
      </c>
      <c r="D428" s="345"/>
      <c r="E428" s="346" t="s">
        <v>790</v>
      </c>
      <c r="F428" s="347" t="s">
        <v>285</v>
      </c>
      <c r="G428" s="348"/>
      <c r="H428" s="349">
        <f>IFERROR(HLOOKUP(B428,'BKT-ThuHoi'!$5:$183,179,0),0)</f>
        <v>0</v>
      </c>
      <c r="I428" s="350">
        <f>H428+J428-K428</f>
        <v>0</v>
      </c>
      <c r="J428" s="350"/>
      <c r="K428" s="350"/>
      <c r="L428" s="350"/>
      <c r="M428" s="332"/>
      <c r="N428" s="340"/>
      <c r="O428" s="341"/>
    </row>
    <row r="429" spans="1:15" ht="16.2" outlineLevel="1">
      <c r="A429" s="288"/>
      <c r="B429" s="351" t="s">
        <v>704</v>
      </c>
      <c r="C429" s="388" t="str">
        <f>IF(OR(I429&lt;&gt;0,H429&lt;&gt;0),"x"," ")</f>
        <v xml:space="preserve"> </v>
      </c>
      <c r="D429" s="338"/>
      <c r="E429" s="358" t="str">
        <f>VLOOKUP($B429,DG!A:D,DG!$C$2,)</f>
        <v>Sắt góc L75 x75 x8</v>
      </c>
      <c r="F429" s="338" t="str">
        <f>VLOOKUP($B429,DG!A:D,DG!$D$2,)</f>
        <v>kg</v>
      </c>
      <c r="G429" s="357">
        <f>9.02*(3+3*0.1)*2</f>
        <v>59.531999999999996</v>
      </c>
      <c r="H429" s="360">
        <f>H$428*$G429</f>
        <v>0</v>
      </c>
      <c r="I429" s="360"/>
      <c r="J429" s="360"/>
      <c r="K429" s="360"/>
      <c r="L429" s="360"/>
      <c r="M429" s="332"/>
      <c r="N429" s="340"/>
      <c r="O429" s="341"/>
    </row>
    <row r="430" spans="1:15" ht="16.2" outlineLevel="1">
      <c r="A430" s="288"/>
      <c r="B430" s="351" t="s">
        <v>791</v>
      </c>
      <c r="C430" s="388" t="str">
        <f>IF(OR(I430&lt;&gt;0,H430&lt;&gt;0),"x"," ")</f>
        <v xml:space="preserve"> </v>
      </c>
      <c r="D430" s="338"/>
      <c r="E430" s="358" t="str">
        <f>VLOOKUP($B430,DG!A:D,DG!$C$2,)</f>
        <v>Sắt dẹt 60 x 6</v>
      </c>
      <c r="F430" s="338" t="str">
        <f>VLOOKUP($B430,DG!A:D,DG!$D$2,)</f>
        <v>kg</v>
      </c>
      <c r="G430" s="357">
        <f>0.92*2.826*4</f>
        <v>10.39968</v>
      </c>
      <c r="H430" s="360">
        <f>H$428*$G430</f>
        <v>0</v>
      </c>
      <c r="I430" s="360"/>
      <c r="J430" s="360"/>
      <c r="K430" s="360"/>
      <c r="L430" s="360"/>
      <c r="M430" s="332"/>
      <c r="N430" s="340"/>
      <c r="O430" s="341"/>
    </row>
    <row r="431" spans="1:15" ht="16.2" outlineLevel="1">
      <c r="A431" s="288"/>
      <c r="B431" s="351" t="s">
        <v>708</v>
      </c>
      <c r="C431" s="388" t="str">
        <f>IF(OR(I431&lt;&gt;0,H431&lt;&gt;0),"x"," ")</f>
        <v xml:space="preserve"> </v>
      </c>
      <c r="D431" s="338"/>
      <c r="E431" s="358" t="str">
        <f>VLOOKUP($B431,DG!A:D,DG!$C$2,)</f>
        <v>Boulon 16x50</v>
      </c>
      <c r="F431" s="338" t="str">
        <f>VLOOKUP($B431,DG!A:D,DG!$D$2,)</f>
        <v>bộ</v>
      </c>
      <c r="G431" s="359">
        <v>4</v>
      </c>
      <c r="H431" s="360">
        <f>H$428*$G431</f>
        <v>0</v>
      </c>
      <c r="I431" s="360"/>
      <c r="J431" s="360"/>
      <c r="K431" s="360"/>
      <c r="L431" s="360"/>
      <c r="M431" s="332"/>
      <c r="N431" s="340"/>
      <c r="O431" s="341"/>
    </row>
    <row r="432" spans="1:15" ht="16.2" outlineLevel="1">
      <c r="A432" s="288"/>
      <c r="B432" s="351" t="s">
        <v>707</v>
      </c>
      <c r="C432" s="388" t="str">
        <f>IF(OR(I432&lt;&gt;0,H432&lt;&gt;0),"x"," ")</f>
        <v xml:space="preserve"> </v>
      </c>
      <c r="D432" s="338"/>
      <c r="E432" s="358" t="str">
        <f>VLOOKUP($B432,DG!A:D,DG!$C$2,)</f>
        <v>Boulon 16x250</v>
      </c>
      <c r="F432" s="338" t="str">
        <f>VLOOKUP($B432,DG!A:D,DG!$D$2,)</f>
        <v>bộ</v>
      </c>
      <c r="G432" s="359">
        <v>4</v>
      </c>
      <c r="H432" s="360">
        <f>H$428*$G432</f>
        <v>0</v>
      </c>
      <c r="I432" s="360"/>
      <c r="J432" s="360"/>
      <c r="K432" s="360"/>
      <c r="L432" s="360"/>
      <c r="M432" s="332"/>
      <c r="N432" s="340"/>
      <c r="O432" s="341"/>
    </row>
    <row r="433" spans="1:15" ht="16.2" outlineLevel="1">
      <c r="A433" s="288"/>
      <c r="B433" s="351" t="s">
        <v>770</v>
      </c>
      <c r="C433" s="388" t="str">
        <f>IF(OR(I433&lt;&gt;0,H433&lt;&gt;0),"x"," ")</f>
        <v xml:space="preserve"> </v>
      </c>
      <c r="D433" s="338"/>
      <c r="E433" s="358" t="str">
        <f>VLOOKUP($B433,DG!A:D,DG!$C$2,)</f>
        <v>Boulon 16x300VRS</v>
      </c>
      <c r="F433" s="338" t="str">
        <f>VLOOKUP($B433,DG!A:D,DG!$D$2,)</f>
        <v>bộ</v>
      </c>
      <c r="G433" s="359">
        <v>4</v>
      </c>
      <c r="H433" s="360">
        <f>H$428*$G433</f>
        <v>0</v>
      </c>
      <c r="I433" s="360"/>
      <c r="J433" s="360"/>
      <c r="K433" s="360"/>
      <c r="L433" s="360"/>
      <c r="M433" s="332"/>
      <c r="N433" s="340"/>
      <c r="O433" s="341"/>
    </row>
    <row r="434" spans="1:15" ht="16.2" outlineLevel="1">
      <c r="A434" s="288"/>
      <c r="B434" s="351" t="s">
        <v>767</v>
      </c>
      <c r="C434" s="388" t="str">
        <f>IF(OR(I434&lt;&gt;0,H434&lt;&gt;0),"x"," ")</f>
        <v xml:space="preserve"> </v>
      </c>
      <c r="D434" s="338"/>
      <c r="E434" s="366" t="str">
        <f>VLOOKUP($B434,DG!A:D,DG!$C$2,)</f>
        <v>Lắp xà cột Pi loại ≤140kg/xà</v>
      </c>
      <c r="F434" s="338" t="str">
        <f>VLOOKUP($B434,DG!A:D,DG!$D$2,)</f>
        <v>bộ</v>
      </c>
      <c r="G434" s="359">
        <v>1</v>
      </c>
      <c r="H434" s="360"/>
      <c r="I434" s="360"/>
      <c r="J434" s="360"/>
      <c r="K434" s="360"/>
      <c r="L434" s="360"/>
      <c r="M434" s="332"/>
      <c r="N434" s="340"/>
      <c r="O434" s="341"/>
    </row>
    <row r="435" spans="1:15" ht="16.2" outlineLevel="1">
      <c r="A435" s="288"/>
      <c r="B435" s="351" t="s">
        <v>710</v>
      </c>
      <c r="C435" s="388" t="str">
        <f>IF(OR(I435&lt;&gt;0,H435&lt;&gt;0),"x"," ")</f>
        <v xml:space="preserve"> </v>
      </c>
      <c r="D435" s="338"/>
      <c r="E435" s="366" t="str">
        <f>VLOOKUP($B435,DG!A:D,DG!$C$2,)</f>
        <v>Bốc dỡ xà, thép thanh</v>
      </c>
      <c r="F435" s="338" t="str">
        <f>VLOOKUP($B435,DG!A:D,DG!$D$2,)</f>
        <v>tấn</v>
      </c>
      <c r="G435" s="353">
        <f>G436</f>
        <v>7.2999999999999995E-2</v>
      </c>
      <c r="H435" s="360"/>
      <c r="I435" s="360"/>
      <c r="J435" s="360"/>
      <c r="K435" s="360"/>
      <c r="L435" s="360"/>
      <c r="M435" s="332"/>
      <c r="N435" s="340"/>
      <c r="O435" s="341"/>
    </row>
    <row r="436" spans="1:15" ht="16.2" outlineLevel="1">
      <c r="A436" s="288"/>
      <c r="B436" s="356" t="s">
        <v>711</v>
      </c>
      <c r="C436" s="388" t="str">
        <f>IF(OR(I436&lt;&gt;0,H436&lt;&gt;0),"x"," ")</f>
        <v xml:space="preserve"> </v>
      </c>
      <c r="D436" s="338" t="str">
        <f>VLOOKUP($B436,DG!A:C,2,)</f>
        <v>02.1361</v>
      </c>
      <c r="E436" s="366" t="str">
        <f>VLOOKUP($B436,DG!A:C,3,)</f>
        <v>V/c xà vào vị trí (cư ly &lt;=100m)</v>
      </c>
      <c r="F436" s="338" t="str">
        <f>VLOOKUP($B436,DG!A:D,4,0)</f>
        <v>tấn</v>
      </c>
      <c r="G436" s="353">
        <f>ROUND(SUM(G429:G430)*1.05/1000,3)</f>
        <v>7.2999999999999995E-2</v>
      </c>
      <c r="H436" s="354"/>
      <c r="I436" s="354"/>
      <c r="J436" s="354"/>
      <c r="K436" s="354"/>
      <c r="L436" s="354"/>
      <c r="M436" s="332"/>
      <c r="N436" s="340"/>
      <c r="O436" s="341"/>
    </row>
    <row r="437" spans="1:15" ht="16.2" outlineLevel="1">
      <c r="A437" s="288"/>
      <c r="B437" s="356" t="s">
        <v>447</v>
      </c>
      <c r="C437" s="388" t="str">
        <f>IF(OR(I437&lt;&gt;0,H437&lt;&gt;0),"x"," ")</f>
        <v xml:space="preserve"> </v>
      </c>
      <c r="D437" s="338" t="str">
        <f>VLOOKUP($B437,DG!A:C,2,)</f>
        <v>02.1482</v>
      </c>
      <c r="E437" s="366" t="str">
        <f>VLOOKUP($B437,DG!A:C,3,)</f>
        <v>V/c dụng cụ thi công vào vị trí (cự ly &lt;=100m)</v>
      </c>
      <c r="F437" s="338" t="str">
        <f>VLOOKUP($B437,DG!A:D,4,0)</f>
        <v>tấn</v>
      </c>
      <c r="G437" s="357">
        <v>0.05</v>
      </c>
      <c r="H437" s="354"/>
      <c r="I437" s="354"/>
      <c r="J437" s="354"/>
      <c r="K437" s="354"/>
      <c r="L437" s="354"/>
      <c r="M437" s="332"/>
      <c r="N437" s="340"/>
      <c r="O437" s="341"/>
    </row>
    <row r="438" spans="1:15" ht="16.2" outlineLevel="1">
      <c r="A438" s="342" t="s">
        <v>792</v>
      </c>
      <c r="B438" s="343" t="s">
        <v>792</v>
      </c>
      <c r="C438" s="388" t="str">
        <f>IF(OR(I438&lt;&gt;0,H438&lt;&gt;0),"x"," ")</f>
        <v xml:space="preserve"> </v>
      </c>
      <c r="D438" s="345"/>
      <c r="E438" s="346" t="s">
        <v>793</v>
      </c>
      <c r="F438" s="347" t="s">
        <v>285</v>
      </c>
      <c r="G438" s="348"/>
      <c r="H438" s="349">
        <f>IFERROR(HLOOKUP(B438,'BKT-ThuHoi'!$5:$183,179,0),0)</f>
        <v>0</v>
      </c>
      <c r="I438" s="350">
        <f>H438+J438-K438</f>
        <v>0</v>
      </c>
      <c r="J438" s="350"/>
      <c r="K438" s="350"/>
      <c r="L438" s="350"/>
      <c r="M438" s="332"/>
      <c r="N438" s="340"/>
      <c r="O438" s="341"/>
    </row>
    <row r="439" spans="1:15" ht="16.2" outlineLevel="1">
      <c r="A439" s="288"/>
      <c r="B439" s="351" t="s">
        <v>704</v>
      </c>
      <c r="C439" s="388" t="str">
        <f>IF(OR(I439&lt;&gt;0,H439&lt;&gt;0),"x"," ")</f>
        <v xml:space="preserve"> </v>
      </c>
      <c r="D439" s="338"/>
      <c r="E439" s="358" t="str">
        <f>VLOOKUP($B439,DG!A:D,DG!$C$2,)</f>
        <v>Sắt góc L75 x75 x8</v>
      </c>
      <c r="F439" s="338" t="str">
        <f>VLOOKUP($B439,DG!A:D,DG!$D$2,)</f>
        <v>kg</v>
      </c>
      <c r="G439" s="357">
        <f>9.02*(3.8+6*0.1)</f>
        <v>39.688000000000002</v>
      </c>
      <c r="H439" s="360">
        <f>H$438*$G439</f>
        <v>0</v>
      </c>
      <c r="I439" s="360"/>
      <c r="J439" s="360"/>
      <c r="K439" s="360"/>
      <c r="L439" s="360"/>
      <c r="M439" s="332"/>
      <c r="N439" s="340"/>
      <c r="O439" s="341"/>
    </row>
    <row r="440" spans="1:15" ht="16.2" outlineLevel="1">
      <c r="A440" s="288"/>
      <c r="B440" s="351" t="s">
        <v>705</v>
      </c>
      <c r="C440" s="388" t="str">
        <f>IF(OR(I440&lt;&gt;0,H440&lt;&gt;0),"x"," ")</f>
        <v xml:space="preserve"> </v>
      </c>
      <c r="D440" s="338"/>
      <c r="E440" s="358" t="str">
        <f>VLOOKUP($B440,DG!A:D,DG!$C$2,)</f>
        <v>Sắt góc L50 x50 x5</v>
      </c>
      <c r="F440" s="338" t="str">
        <f>VLOOKUP($B440,DG!A:D,DG!$D$2,)</f>
        <v>kg</v>
      </c>
      <c r="G440" s="357">
        <f>3.77*2.05*2</f>
        <v>15.456999999999999</v>
      </c>
      <c r="H440" s="360">
        <f>H$438*$G440</f>
        <v>0</v>
      </c>
      <c r="I440" s="360"/>
      <c r="J440" s="360"/>
      <c r="K440" s="360"/>
      <c r="L440" s="360"/>
      <c r="M440" s="332"/>
      <c r="N440" s="340"/>
      <c r="O440" s="341"/>
    </row>
    <row r="441" spans="1:15" ht="16.2" outlineLevel="1">
      <c r="A441" s="288"/>
      <c r="B441" s="351" t="s">
        <v>758</v>
      </c>
      <c r="C441" s="388" t="str">
        <f>IF(OR(I441&lt;&gt;0,H441&lt;&gt;0),"x"," ")</f>
        <v xml:space="preserve"> </v>
      </c>
      <c r="D441" s="338"/>
      <c r="E441" s="358" t="str">
        <f>VLOOKUP($B441,DG!A:D,DG!$C$2,)</f>
        <v>Sắt dẹt 50 x 5</v>
      </c>
      <c r="F441" s="338" t="str">
        <f>VLOOKUP($B441,DG!A:D,DG!$D$2,)</f>
        <v>kg</v>
      </c>
      <c r="G441" s="357">
        <f>1.963*0.4*2</f>
        <v>1.5704000000000002</v>
      </c>
      <c r="H441" s="360">
        <f>H$438*$G441</f>
        <v>0</v>
      </c>
      <c r="I441" s="360"/>
      <c r="J441" s="360"/>
      <c r="K441" s="360"/>
      <c r="L441" s="360"/>
      <c r="M441" s="332"/>
      <c r="N441" s="340"/>
      <c r="O441" s="341"/>
    </row>
    <row r="442" spans="1:15" ht="16.2" outlineLevel="1">
      <c r="A442" s="288"/>
      <c r="B442" s="351" t="s">
        <v>707</v>
      </c>
      <c r="C442" s="388" t="str">
        <f>IF(OR(I442&lt;&gt;0,H442&lt;&gt;0),"x"," ")</f>
        <v xml:space="preserve"> </v>
      </c>
      <c r="D442" s="338"/>
      <c r="E442" s="358" t="str">
        <f>VLOOKUP($B442,DG!A:D,DG!$C$2,)</f>
        <v>Boulon 16x250</v>
      </c>
      <c r="F442" s="338" t="str">
        <f>VLOOKUP($B442,DG!A:D,DG!$D$2,)</f>
        <v>bộ</v>
      </c>
      <c r="G442" s="359">
        <v>2</v>
      </c>
      <c r="H442" s="360">
        <f>H$438*$G442</f>
        <v>0</v>
      </c>
      <c r="I442" s="360"/>
      <c r="J442" s="360"/>
      <c r="K442" s="360"/>
      <c r="L442" s="360"/>
      <c r="M442" s="332"/>
      <c r="N442" s="340"/>
      <c r="O442" s="341"/>
    </row>
    <row r="443" spans="1:15" ht="16.2" outlineLevel="1">
      <c r="A443" s="288"/>
      <c r="B443" s="351" t="s">
        <v>708</v>
      </c>
      <c r="C443" s="388" t="str">
        <f>IF(OR(I443&lt;&gt;0,H443&lt;&gt;0),"x"," ")</f>
        <v xml:space="preserve"> </v>
      </c>
      <c r="D443" s="338"/>
      <c r="E443" s="358" t="str">
        <f>VLOOKUP($B443,DG!A:D,DG!$C$2,)</f>
        <v>Boulon 16x50</v>
      </c>
      <c r="F443" s="338" t="str">
        <f>VLOOKUP($B443,DG!A:D,DG!$D$2,)</f>
        <v>bộ</v>
      </c>
      <c r="G443" s="359">
        <v>2</v>
      </c>
      <c r="H443" s="360">
        <f>H$438*$G443</f>
        <v>0</v>
      </c>
      <c r="I443" s="360"/>
      <c r="J443" s="360"/>
      <c r="K443" s="360"/>
      <c r="L443" s="360"/>
      <c r="M443" s="332"/>
      <c r="N443" s="340"/>
      <c r="O443" s="341"/>
    </row>
    <row r="444" spans="1:15" ht="16.2" outlineLevel="1">
      <c r="A444" s="288"/>
      <c r="B444" s="351" t="s">
        <v>709</v>
      </c>
      <c r="C444" s="388" t="str">
        <f>IF(OR(I444&lt;&gt;0,H444&lt;&gt;0),"x"," ")</f>
        <v xml:space="preserve"> </v>
      </c>
      <c r="D444" s="338" t="str">
        <f>VLOOKUP($B444,DG!A:D,DG!$B$2,)</f>
        <v>05.6401</v>
      </c>
      <c r="E444" s="366" t="str">
        <f>VLOOKUP($B444,DG!A:D,DG!$C$2,)</f>
        <v>Lắp xà đỡ ≤ 25kg</v>
      </c>
      <c r="F444" s="338" t="str">
        <f>VLOOKUP($B444,DG!A:D,DG!$D$2,)</f>
        <v>bộ</v>
      </c>
      <c r="G444" s="359">
        <v>1</v>
      </c>
      <c r="H444" s="354"/>
      <c r="I444" s="354"/>
      <c r="J444" s="354"/>
      <c r="K444" s="354"/>
      <c r="L444" s="354"/>
      <c r="M444" s="332"/>
      <c r="N444" s="340"/>
      <c r="O444" s="341"/>
    </row>
    <row r="445" spans="1:15" ht="16.2" outlineLevel="1">
      <c r="A445" s="288"/>
      <c r="B445" s="351" t="s">
        <v>710</v>
      </c>
      <c r="C445" s="388" t="str">
        <f>IF(OR(I445&lt;&gt;0,H445&lt;&gt;0),"x"," ")</f>
        <v xml:space="preserve"> </v>
      </c>
      <c r="D445" s="338" t="str">
        <f>VLOOKUP($B445,DG!A:D,DG!$B$2,)</f>
        <v>02.1115</v>
      </c>
      <c r="E445" s="366" t="str">
        <f>VLOOKUP($B445,DG!A:D,DG!$C$2,)</f>
        <v>Bốc dỡ xà, thép thanh</v>
      </c>
      <c r="F445" s="338" t="str">
        <f>VLOOKUP($B445,DG!A:D,DG!$D$2,)</f>
        <v>tấn</v>
      </c>
      <c r="G445" s="353">
        <f>G446</f>
        <v>0.06</v>
      </c>
      <c r="H445" s="354"/>
      <c r="I445" s="354"/>
      <c r="J445" s="354"/>
      <c r="K445" s="354"/>
      <c r="L445" s="354"/>
      <c r="M445" s="332"/>
      <c r="N445" s="340"/>
      <c r="O445" s="341"/>
    </row>
    <row r="446" spans="1:15" ht="16.2" outlineLevel="1">
      <c r="A446" s="288"/>
      <c r="B446" s="356" t="s">
        <v>711</v>
      </c>
      <c r="C446" s="388" t="str">
        <f>IF(OR(I446&lt;&gt;0,H446&lt;&gt;0),"x"," ")</f>
        <v xml:space="preserve"> </v>
      </c>
      <c r="D446" s="338" t="str">
        <f>VLOOKUP($B446,DG!A:C,2,)</f>
        <v>02.1361</v>
      </c>
      <c r="E446" s="366" t="str">
        <f>VLOOKUP($B446,DG!A:C,3,)</f>
        <v>V/c xà vào vị trí (cư ly &lt;=100m)</v>
      </c>
      <c r="F446" s="338" t="str">
        <f>VLOOKUP($B446,DG!A:D,4,0)</f>
        <v>tấn</v>
      </c>
      <c r="G446" s="353">
        <f>ROUND(SUM(G439:G441)*1.05/1000,3)</f>
        <v>0.06</v>
      </c>
      <c r="H446" s="354"/>
      <c r="I446" s="354"/>
      <c r="J446" s="354"/>
      <c r="K446" s="354"/>
      <c r="L446" s="354"/>
      <c r="M446" s="332"/>
      <c r="N446" s="340"/>
      <c r="O446" s="341"/>
    </row>
    <row r="447" spans="1:15" ht="16.2" outlineLevel="1">
      <c r="A447" s="288"/>
      <c r="B447" s="356" t="s">
        <v>447</v>
      </c>
      <c r="C447" s="388" t="str">
        <f>IF(OR(I447&lt;&gt;0,H447&lt;&gt;0),"x"," ")</f>
        <v xml:space="preserve"> </v>
      </c>
      <c r="D447" s="338" t="str">
        <f>VLOOKUP($B447,DG!A:C,2,)</f>
        <v>02.1482</v>
      </c>
      <c r="E447" s="366" t="str">
        <f>VLOOKUP($B447,DG!A:C,3,)</f>
        <v>V/c dụng cụ thi công vào vị trí (cự ly &lt;=100m)</v>
      </c>
      <c r="F447" s="338" t="str">
        <f>VLOOKUP($B447,DG!A:D,4,0)</f>
        <v>tấn</v>
      </c>
      <c r="G447" s="357">
        <v>0.05</v>
      </c>
      <c r="H447" s="354"/>
      <c r="I447" s="354"/>
      <c r="J447" s="354"/>
      <c r="K447" s="354"/>
      <c r="L447" s="354"/>
      <c r="M447" s="332"/>
      <c r="N447" s="340"/>
      <c r="O447" s="341"/>
    </row>
    <row r="448" spans="1:15" ht="16.2" outlineLevel="1">
      <c r="A448" s="342" t="s">
        <v>794</v>
      </c>
      <c r="B448" s="343" t="s">
        <v>794</v>
      </c>
      <c r="C448" s="388" t="str">
        <f>IF(OR(I448&lt;&gt;0,H448&lt;&gt;0),"x"," ")</f>
        <v xml:space="preserve"> </v>
      </c>
      <c r="D448" s="345"/>
      <c r="E448" s="346" t="s">
        <v>795</v>
      </c>
      <c r="F448" s="347" t="s">
        <v>285</v>
      </c>
      <c r="G448" s="348"/>
      <c r="H448" s="349">
        <f>IFERROR(HLOOKUP(B448,'BKT-ThuHoi'!$5:$183,179,0),0)</f>
        <v>0</v>
      </c>
      <c r="I448" s="350">
        <f>H448+J448-K448</f>
        <v>0</v>
      </c>
      <c r="J448" s="350"/>
      <c r="K448" s="350"/>
      <c r="L448" s="350"/>
      <c r="M448" s="332"/>
      <c r="N448" s="340"/>
      <c r="O448" s="341"/>
    </row>
    <row r="449" spans="1:15" ht="16.2" outlineLevel="1">
      <c r="A449" s="288"/>
      <c r="B449" s="351" t="s">
        <v>704</v>
      </c>
      <c r="C449" s="388" t="str">
        <f>IF(OR(I449&lt;&gt;0,H449&lt;&gt;0),"x"," ")</f>
        <v xml:space="preserve"> </v>
      </c>
      <c r="D449" s="338"/>
      <c r="E449" s="358" t="str">
        <f>VLOOKUP($B449,DG!A:D,DG!$C$2,)</f>
        <v>Sắt góc L75 x75 x8</v>
      </c>
      <c r="F449" s="338" t="str">
        <f>VLOOKUP($B449,DG!A:D,DG!$D$2,)</f>
        <v>kg</v>
      </c>
      <c r="G449" s="357">
        <f>9.02*(4.2+6*0.1)*2</f>
        <v>86.592000000000013</v>
      </c>
      <c r="H449" s="360">
        <f>H$448*$G449</f>
        <v>0</v>
      </c>
      <c r="I449" s="360"/>
      <c r="J449" s="360"/>
      <c r="K449" s="360"/>
      <c r="L449" s="360"/>
      <c r="M449" s="332"/>
      <c r="N449" s="340"/>
      <c r="O449" s="341"/>
    </row>
    <row r="450" spans="1:15" ht="16.2" outlineLevel="1">
      <c r="A450" s="288"/>
      <c r="B450" s="351" t="s">
        <v>791</v>
      </c>
      <c r="C450" s="388" t="str">
        <f>IF(OR(I450&lt;&gt;0,H450&lt;&gt;0),"x"," ")</f>
        <v xml:space="preserve"> </v>
      </c>
      <c r="D450" s="338"/>
      <c r="E450" s="358" t="str">
        <f>VLOOKUP($B450,DG!A:D,DG!$C$2,)</f>
        <v>Sắt dẹt 60 x 6</v>
      </c>
      <c r="F450" s="338" t="str">
        <f>VLOOKUP($B450,DG!A:D,DG!$D$2,)</f>
        <v>kg</v>
      </c>
      <c r="G450" s="357">
        <f>2.826*0.92*8</f>
        <v>20.79936</v>
      </c>
      <c r="H450" s="360">
        <f>H$448*$G450</f>
        <v>0</v>
      </c>
      <c r="I450" s="360"/>
      <c r="J450" s="360"/>
      <c r="K450" s="360"/>
      <c r="L450" s="360"/>
      <c r="M450" s="332"/>
      <c r="N450" s="340"/>
      <c r="O450" s="341"/>
    </row>
    <row r="451" spans="1:15" ht="16.2" outlineLevel="1">
      <c r="A451" s="288"/>
      <c r="B451" s="351" t="s">
        <v>707</v>
      </c>
      <c r="C451" s="388" t="str">
        <f>IF(OR(I451&lt;&gt;0,H451&lt;&gt;0),"x"," ")</f>
        <v xml:space="preserve"> </v>
      </c>
      <c r="D451" s="338"/>
      <c r="E451" s="358" t="str">
        <f>VLOOKUP($B451,DG!A:D,DG!$C$2,)</f>
        <v>Boulon 16x250</v>
      </c>
      <c r="F451" s="338" t="str">
        <f>VLOOKUP($B451,DG!A:D,DG!$D$2,)</f>
        <v>bộ</v>
      </c>
      <c r="G451" s="359">
        <v>4</v>
      </c>
      <c r="H451" s="360">
        <f>H$448*$G451</f>
        <v>0</v>
      </c>
      <c r="I451" s="360"/>
      <c r="J451" s="360"/>
      <c r="K451" s="360"/>
      <c r="L451" s="360"/>
      <c r="M451" s="332"/>
      <c r="N451" s="340"/>
      <c r="O451" s="341"/>
    </row>
    <row r="452" spans="1:15" ht="16.2" outlineLevel="1">
      <c r="A452" s="288"/>
      <c r="B452" s="351" t="s">
        <v>770</v>
      </c>
      <c r="C452" s="388" t="str">
        <f>IF(OR(I452&lt;&gt;0,H452&lt;&gt;0),"x"," ")</f>
        <v xml:space="preserve"> </v>
      </c>
      <c r="D452" s="338"/>
      <c r="E452" s="358" t="str">
        <f>VLOOKUP($B452,DG!A:D,DG!$C$2,)</f>
        <v>Boulon 16x300VRS</v>
      </c>
      <c r="F452" s="338" t="str">
        <f>VLOOKUP($B452,DG!A:D,DG!$D$2,)</f>
        <v>bộ</v>
      </c>
      <c r="G452" s="359">
        <v>6</v>
      </c>
      <c r="H452" s="360">
        <f>H$448*$G452</f>
        <v>0</v>
      </c>
      <c r="I452" s="360"/>
      <c r="J452" s="360"/>
      <c r="K452" s="360"/>
      <c r="L452" s="360"/>
      <c r="M452" s="332"/>
      <c r="N452" s="340"/>
      <c r="O452" s="341"/>
    </row>
    <row r="453" spans="1:15" ht="16.2" outlineLevel="1">
      <c r="A453" s="288"/>
      <c r="B453" s="351" t="s">
        <v>767</v>
      </c>
      <c r="C453" s="388" t="str">
        <f>IF(OR(I453&lt;&gt;0,H453&lt;&gt;0),"x"," ")</f>
        <v xml:space="preserve"> </v>
      </c>
      <c r="D453" s="338"/>
      <c r="E453" s="366" t="str">
        <f>VLOOKUP($B453,DG!A:D,DG!$C$2,)</f>
        <v>Lắp xà cột Pi loại ≤140kg/xà</v>
      </c>
      <c r="F453" s="338" t="str">
        <f>VLOOKUP($B453,DG!A:D,DG!$D$2,)</f>
        <v>bộ</v>
      </c>
      <c r="G453" s="359">
        <v>1</v>
      </c>
      <c r="H453" s="360"/>
      <c r="I453" s="360"/>
      <c r="J453" s="360"/>
      <c r="K453" s="360"/>
      <c r="L453" s="360"/>
      <c r="M453" s="332"/>
      <c r="N453" s="340"/>
      <c r="O453" s="341"/>
    </row>
    <row r="454" spans="1:15" ht="16.2" outlineLevel="1">
      <c r="A454" s="288"/>
      <c r="B454" s="351" t="s">
        <v>710</v>
      </c>
      <c r="C454" s="388" t="str">
        <f>IF(OR(I454&lt;&gt;0,H454&lt;&gt;0),"x"," ")</f>
        <v xml:space="preserve"> </v>
      </c>
      <c r="D454" s="338"/>
      <c r="E454" s="366" t="str">
        <f>VLOOKUP($B454,DG!A:D,DG!$C$2,)</f>
        <v>Bốc dỡ xà, thép thanh</v>
      </c>
      <c r="F454" s="338" t="str">
        <f>VLOOKUP($B454,DG!A:D,DG!$D$2,)</f>
        <v>tấn</v>
      </c>
      <c r="G454" s="353">
        <f>G455</f>
        <v>0.113</v>
      </c>
      <c r="H454" s="360"/>
      <c r="I454" s="360"/>
      <c r="J454" s="360"/>
      <c r="K454" s="360"/>
      <c r="L454" s="360"/>
      <c r="M454" s="332"/>
      <c r="N454" s="340"/>
      <c r="O454" s="341"/>
    </row>
    <row r="455" spans="1:15" ht="16.2" outlineLevel="1">
      <c r="A455" s="288"/>
      <c r="B455" s="356" t="s">
        <v>711</v>
      </c>
      <c r="C455" s="388" t="str">
        <f>IF(OR(I455&lt;&gt;0,H455&lt;&gt;0),"x"," ")</f>
        <v xml:space="preserve"> </v>
      </c>
      <c r="D455" s="338" t="str">
        <f>VLOOKUP($B455,DG!A:C,2,)</f>
        <v>02.1361</v>
      </c>
      <c r="E455" s="366" t="str">
        <f>VLOOKUP($B455,DG!A:C,3,)</f>
        <v>V/c xà vào vị trí (cư ly &lt;=100m)</v>
      </c>
      <c r="F455" s="338" t="str">
        <f>VLOOKUP($B455,DG!A:D,4,0)</f>
        <v>tấn</v>
      </c>
      <c r="G455" s="353">
        <f>ROUND(SUM(G449:G450)*1.05/1000,3)</f>
        <v>0.113</v>
      </c>
      <c r="H455" s="354"/>
      <c r="I455" s="354"/>
      <c r="J455" s="354"/>
      <c r="K455" s="354"/>
      <c r="L455" s="354"/>
      <c r="M455" s="332"/>
      <c r="N455" s="340"/>
      <c r="O455" s="341"/>
    </row>
    <row r="456" spans="1:15" ht="16.2" outlineLevel="1">
      <c r="A456" s="288"/>
      <c r="B456" s="356" t="s">
        <v>447</v>
      </c>
      <c r="C456" s="388" t="str">
        <f>IF(OR(I456&lt;&gt;0,H456&lt;&gt;0),"x"," ")</f>
        <v xml:space="preserve"> </v>
      </c>
      <c r="D456" s="338" t="str">
        <f>VLOOKUP($B456,DG!A:C,2,)</f>
        <v>02.1482</v>
      </c>
      <c r="E456" s="366" t="str">
        <f>VLOOKUP($B456,DG!A:C,3,)</f>
        <v>V/c dụng cụ thi công vào vị trí (cự ly &lt;=100m)</v>
      </c>
      <c r="F456" s="338" t="str">
        <f>VLOOKUP($B456,DG!A:D,4,0)</f>
        <v>tấn</v>
      </c>
      <c r="G456" s="357">
        <v>0.05</v>
      </c>
      <c r="H456" s="354"/>
      <c r="I456" s="354"/>
      <c r="J456" s="354"/>
      <c r="K456" s="354"/>
      <c r="L456" s="354"/>
      <c r="M456" s="332"/>
      <c r="N456" s="340"/>
      <c r="O456" s="341"/>
    </row>
    <row r="457" spans="1:15" ht="16.2" outlineLevel="1">
      <c r="A457" s="342" t="s">
        <v>796</v>
      </c>
      <c r="B457" s="343" t="s">
        <v>796</v>
      </c>
      <c r="C457" s="388" t="str">
        <f>IF(OR(I457&lt;&gt;0,H457&lt;&gt;0),"x"," ")</f>
        <v xml:space="preserve"> </v>
      </c>
      <c r="D457" s="345"/>
      <c r="E457" s="346" t="s">
        <v>797</v>
      </c>
      <c r="F457" s="347" t="s">
        <v>285</v>
      </c>
      <c r="G457" s="348"/>
      <c r="H457" s="349">
        <f>IFERROR(HLOOKUP(B457,'BKT-ThuHoi'!$5:$183,179,0),0)</f>
        <v>0</v>
      </c>
      <c r="I457" s="350">
        <f>H457+J457-K457</f>
        <v>0</v>
      </c>
      <c r="J457" s="350"/>
      <c r="K457" s="350"/>
      <c r="L457" s="350"/>
      <c r="M457" s="332"/>
      <c r="N457" s="340"/>
      <c r="O457" s="341"/>
    </row>
    <row r="458" spans="1:15" ht="16.2" outlineLevel="1">
      <c r="A458" s="288"/>
      <c r="B458" s="351" t="s">
        <v>704</v>
      </c>
      <c r="C458" s="388" t="str">
        <f>IF(OR(I458&lt;&gt;0,H458&lt;&gt;0),"x"," ")</f>
        <v xml:space="preserve"> </v>
      </c>
      <c r="D458" s="338"/>
      <c r="E458" s="358" t="str">
        <f>VLOOKUP($B458,DG!A:D,DG!$C$2,)</f>
        <v>Sắt góc L75 x75 x8</v>
      </c>
      <c r="F458" s="338" t="str">
        <f>VLOOKUP($B458,DG!A:D,DG!$D$2,)</f>
        <v>kg</v>
      </c>
      <c r="G458" s="357">
        <f>9.02*(2.4+4*0.1)*2</f>
        <v>50.511999999999993</v>
      </c>
      <c r="H458" s="360">
        <f>H$457*$G458</f>
        <v>0</v>
      </c>
      <c r="I458" s="360"/>
      <c r="J458" s="360"/>
      <c r="K458" s="360"/>
      <c r="L458" s="360"/>
      <c r="M458" s="332"/>
      <c r="N458" s="340"/>
      <c r="O458" s="341"/>
    </row>
    <row r="459" spans="1:15" ht="16.2" outlineLevel="1">
      <c r="A459" s="288"/>
      <c r="B459" s="351" t="s">
        <v>798</v>
      </c>
      <c r="C459" s="388" t="str">
        <f>IF(OR(I459&lt;&gt;0,H459&lt;&gt;0),"x"," ")</f>
        <v xml:space="preserve"> </v>
      </c>
      <c r="D459" s="338"/>
      <c r="E459" s="358" t="str">
        <f>VLOOKUP($B459,DG!A:D,DG!$C$2,)</f>
        <v>Sắt góc L50 x50 x5</v>
      </c>
      <c r="F459" s="338" t="str">
        <f>VLOOKUP($B459,DG!A:D,DG!$D$2,)</f>
        <v>kg</v>
      </c>
      <c r="G459" s="357">
        <f>3.77*0.81*4</f>
        <v>12.2148</v>
      </c>
      <c r="H459" s="360">
        <f>H$457*$G459</f>
        <v>0</v>
      </c>
      <c r="I459" s="360"/>
      <c r="J459" s="360"/>
      <c r="K459" s="360"/>
      <c r="L459" s="360"/>
      <c r="M459" s="332"/>
      <c r="N459" s="340"/>
      <c r="O459" s="341"/>
    </row>
    <row r="460" spans="1:15" ht="16.2" outlineLevel="1">
      <c r="A460" s="288"/>
      <c r="B460" s="351" t="s">
        <v>707</v>
      </c>
      <c r="C460" s="388" t="str">
        <f>IF(OR(I460&lt;&gt;0,H460&lt;&gt;0),"x"," ")</f>
        <v xml:space="preserve"> </v>
      </c>
      <c r="D460" s="338"/>
      <c r="E460" s="358" t="str">
        <f>VLOOKUP($B460,DG!A:D,DG!$C$2,)</f>
        <v>Boulon 16x250</v>
      </c>
      <c r="F460" s="338" t="str">
        <f>VLOOKUP($B460,DG!A:D,DG!$D$2,)</f>
        <v>bộ</v>
      </c>
      <c r="G460" s="359">
        <v>4</v>
      </c>
      <c r="H460" s="360">
        <f>H$457*$G460</f>
        <v>0</v>
      </c>
      <c r="I460" s="360"/>
      <c r="J460" s="360"/>
      <c r="K460" s="360"/>
      <c r="L460" s="360"/>
      <c r="M460" s="332"/>
      <c r="N460" s="340"/>
      <c r="O460" s="341"/>
    </row>
    <row r="461" spans="1:15" ht="16.2" outlineLevel="1">
      <c r="A461" s="288"/>
      <c r="B461" s="351" t="s">
        <v>770</v>
      </c>
      <c r="C461" s="388" t="str">
        <f>IF(OR(I461&lt;&gt;0,H461&lt;&gt;0),"x"," ")</f>
        <v xml:space="preserve"> </v>
      </c>
      <c r="D461" s="338"/>
      <c r="E461" s="358" t="str">
        <f>VLOOKUP($B461,DG!A:D,DG!$C$2,)</f>
        <v>Boulon 16x300VRS</v>
      </c>
      <c r="F461" s="338" t="str">
        <f>VLOOKUP($B461,DG!A:D,DG!$D$2,)</f>
        <v>bộ</v>
      </c>
      <c r="G461" s="359">
        <v>2</v>
      </c>
      <c r="H461" s="360">
        <f>H$457*$G461</f>
        <v>0</v>
      </c>
      <c r="I461" s="360"/>
      <c r="J461" s="360"/>
      <c r="K461" s="360"/>
      <c r="L461" s="360"/>
      <c r="M461" s="332"/>
      <c r="N461" s="340"/>
      <c r="O461" s="341"/>
    </row>
    <row r="462" spans="1:15" ht="16.2" outlineLevel="1">
      <c r="A462" s="288"/>
      <c r="B462" s="351" t="s">
        <v>708</v>
      </c>
      <c r="C462" s="388" t="str">
        <f>IF(OR(I462&lt;&gt;0,H462&lt;&gt;0),"x"," ")</f>
        <v xml:space="preserve"> </v>
      </c>
      <c r="D462" s="338"/>
      <c r="E462" s="358" t="str">
        <f>VLOOKUP($B462,DG!A:D,DG!$C$2,)</f>
        <v>Boulon 16x50</v>
      </c>
      <c r="F462" s="338" t="str">
        <f>VLOOKUP($B462,DG!A:D,DG!$D$2,)</f>
        <v>bộ</v>
      </c>
      <c r="G462" s="359">
        <v>4</v>
      </c>
      <c r="H462" s="360">
        <f>H$457*$G462</f>
        <v>0</v>
      </c>
      <c r="I462" s="360"/>
      <c r="J462" s="360"/>
      <c r="K462" s="360"/>
      <c r="L462" s="360"/>
      <c r="M462" s="332"/>
      <c r="N462" s="340"/>
      <c r="O462" s="341"/>
    </row>
    <row r="463" spans="1:15" ht="16.2" outlineLevel="1">
      <c r="A463" s="288"/>
      <c r="B463" s="351" t="s">
        <v>767</v>
      </c>
      <c r="C463" s="388" t="str">
        <f>IF(OR(I463&lt;&gt;0,H463&lt;&gt;0),"x"," ")</f>
        <v xml:space="preserve"> </v>
      </c>
      <c r="D463" s="338"/>
      <c r="E463" s="366" t="str">
        <f>VLOOKUP($B463,DG!A:D,DG!$C$2,)</f>
        <v>Lắp xà cột Pi loại ≤140kg/xà</v>
      </c>
      <c r="F463" s="338" t="str">
        <f>VLOOKUP($B463,DG!A:D,DG!$D$2,)</f>
        <v>bộ</v>
      </c>
      <c r="G463" s="359">
        <v>1</v>
      </c>
      <c r="H463" s="360"/>
      <c r="I463" s="360"/>
      <c r="J463" s="360"/>
      <c r="K463" s="360"/>
      <c r="L463" s="360"/>
      <c r="M463" s="332"/>
      <c r="N463" s="340"/>
      <c r="O463" s="341"/>
    </row>
    <row r="464" spans="1:15" ht="16.2" outlineLevel="1">
      <c r="A464" s="288"/>
      <c r="B464" s="351" t="s">
        <v>710</v>
      </c>
      <c r="C464" s="388" t="str">
        <f>IF(OR(I464&lt;&gt;0,H464&lt;&gt;0),"x"," ")</f>
        <v xml:space="preserve"> </v>
      </c>
      <c r="D464" s="338"/>
      <c r="E464" s="366" t="str">
        <f>VLOOKUP($B464,DG!A:D,DG!$C$2,)</f>
        <v>Bốc dỡ xà, thép thanh</v>
      </c>
      <c r="F464" s="338" t="str">
        <f>VLOOKUP($B464,DG!A:D,DG!$D$2,)</f>
        <v>tấn</v>
      </c>
      <c r="G464" s="353"/>
      <c r="H464" s="360"/>
      <c r="I464" s="360"/>
      <c r="J464" s="360"/>
      <c r="K464" s="360"/>
      <c r="L464" s="360"/>
      <c r="M464" s="332"/>
      <c r="N464" s="340"/>
      <c r="O464" s="341"/>
    </row>
    <row r="465" spans="1:15" ht="16.2" outlineLevel="1">
      <c r="A465" s="288"/>
      <c r="B465" s="356" t="s">
        <v>711</v>
      </c>
      <c r="C465" s="388" t="str">
        <f>IF(OR(I465&lt;&gt;0,H465&lt;&gt;0),"x"," ")</f>
        <v xml:space="preserve"> </v>
      </c>
      <c r="D465" s="338" t="str">
        <f>VLOOKUP($B465,DG!A:C,2,)</f>
        <v>02.1361</v>
      </c>
      <c r="E465" s="366" t="str">
        <f>VLOOKUP($B465,DG!A:C,3,)</f>
        <v>V/c xà vào vị trí (cư ly &lt;=100m)</v>
      </c>
      <c r="F465" s="338" t="str">
        <f>VLOOKUP($B465,DG!A:D,4,0)</f>
        <v>tấn</v>
      </c>
      <c r="G465" s="353"/>
      <c r="H465" s="354"/>
      <c r="I465" s="354"/>
      <c r="J465" s="354"/>
      <c r="K465" s="354"/>
      <c r="L465" s="354"/>
      <c r="M465" s="332"/>
      <c r="N465" s="340"/>
      <c r="O465" s="341"/>
    </row>
    <row r="466" spans="1:15" ht="16.2" outlineLevel="1">
      <c r="A466" s="288"/>
      <c r="B466" s="356" t="s">
        <v>447</v>
      </c>
      <c r="C466" s="388" t="str">
        <f>IF(OR(I466&lt;&gt;0,H466&lt;&gt;0),"x"," ")</f>
        <v xml:space="preserve"> </v>
      </c>
      <c r="D466" s="338" t="str">
        <f>VLOOKUP($B466,DG!A:C,2,)</f>
        <v>02.1482</v>
      </c>
      <c r="E466" s="366" t="str">
        <f>VLOOKUP($B466,DG!A:C,3,)</f>
        <v>V/c dụng cụ thi công vào vị trí (cự ly &lt;=100m)</v>
      </c>
      <c r="F466" s="338" t="str">
        <f>VLOOKUP($B466,DG!A:D,4,0)</f>
        <v>tấn</v>
      </c>
      <c r="G466" s="357"/>
      <c r="H466" s="354"/>
      <c r="I466" s="354"/>
      <c r="J466" s="354"/>
      <c r="K466" s="354"/>
      <c r="L466" s="354"/>
      <c r="M466" s="332"/>
      <c r="N466" s="340"/>
      <c r="O466" s="341"/>
    </row>
    <row r="467" spans="1:15" ht="16.2" outlineLevel="1">
      <c r="A467" s="342" t="s">
        <v>799</v>
      </c>
      <c r="B467" s="343" t="s">
        <v>799</v>
      </c>
      <c r="C467" s="388" t="str">
        <f>IF(OR(I467&lt;&gt;0,H467&lt;&gt;0),"x"," ")</f>
        <v xml:space="preserve"> </v>
      </c>
      <c r="D467" s="345"/>
      <c r="E467" s="346" t="s">
        <v>800</v>
      </c>
      <c r="F467" s="347" t="s">
        <v>285</v>
      </c>
      <c r="G467" s="348"/>
      <c r="H467" s="349">
        <f>IFERROR(HLOOKUP(B467,'BKT-ThuHoi'!$5:$183,179,0),0)</f>
        <v>0</v>
      </c>
      <c r="I467" s="350">
        <f>H467+J467-K467</f>
        <v>0</v>
      </c>
      <c r="J467" s="350"/>
      <c r="K467" s="350"/>
      <c r="L467" s="350"/>
      <c r="M467" s="332"/>
      <c r="N467" s="340"/>
      <c r="O467" s="341"/>
    </row>
    <row r="468" spans="1:15" ht="16.2" outlineLevel="1">
      <c r="A468" s="288"/>
      <c r="B468" s="351" t="s">
        <v>704</v>
      </c>
      <c r="C468" s="388" t="str">
        <f>IF(OR(I468&lt;&gt;0,H468&lt;&gt;0),"x"," ")</f>
        <v xml:space="preserve"> </v>
      </c>
      <c r="D468" s="338"/>
      <c r="E468" s="358" t="str">
        <f>VLOOKUP($B468,DG!A:D,DG!$C$2,)</f>
        <v>Sắt góc L75 x75 x8</v>
      </c>
      <c r="F468" s="338" t="str">
        <f>VLOOKUP($B468,DG!A:D,DG!$D$2,)</f>
        <v>kg</v>
      </c>
      <c r="G468" s="357">
        <f>9.02*2*2</f>
        <v>36.08</v>
      </c>
      <c r="H468" s="360">
        <f>H$467*$G468</f>
        <v>0</v>
      </c>
      <c r="I468" s="360"/>
      <c r="J468" s="360"/>
      <c r="K468" s="360"/>
      <c r="L468" s="360"/>
      <c r="M468" s="332"/>
      <c r="N468" s="340"/>
      <c r="O468" s="341"/>
    </row>
    <row r="469" spans="1:15" ht="16.2" outlineLevel="1">
      <c r="A469" s="288"/>
      <c r="B469" s="351" t="s">
        <v>801</v>
      </c>
      <c r="C469" s="388" t="str">
        <f>IF(OR(I469&lt;&gt;0,H469&lt;&gt;0),"x"," ")</f>
        <v xml:space="preserve"> </v>
      </c>
      <c r="D469" s="338"/>
      <c r="E469" s="358" t="str">
        <f>VLOOKUP($B469,DG!A:D,DG!$C$2,)</f>
        <v>Cổ dê  Ø 240-Fe 8x100</v>
      </c>
      <c r="F469" s="338" t="str">
        <f>VLOOKUP($B469,DG!A:D,DG!$D$2,)</f>
        <v>bộ</v>
      </c>
      <c r="G469" s="357">
        <v>2</v>
      </c>
      <c r="H469" s="360">
        <f>H$467*$G469</f>
        <v>0</v>
      </c>
      <c r="I469" s="360"/>
      <c r="J469" s="360"/>
      <c r="K469" s="360"/>
      <c r="L469" s="360"/>
      <c r="M469" s="332"/>
      <c r="N469" s="340"/>
      <c r="O469" s="341"/>
    </row>
    <row r="470" spans="1:15" ht="16.2" outlineLevel="1">
      <c r="A470" s="288"/>
      <c r="B470" s="351" t="s">
        <v>802</v>
      </c>
      <c r="C470" s="388" t="str">
        <f>IF(OR(I470&lt;&gt;0,H470&lt;&gt;0),"x"," ")</f>
        <v xml:space="preserve"> </v>
      </c>
      <c r="D470" s="338"/>
      <c r="E470" s="358" t="str">
        <f>VLOOKUP($B470,DG!A:D,DG!$C$2,)</f>
        <v>Cổ dê Ø 250-Fe 8x100</v>
      </c>
      <c r="F470" s="338" t="str">
        <f>VLOOKUP($B470,DG!A:D,DG!$D$2,)</f>
        <v>bộ</v>
      </c>
      <c r="G470" s="357">
        <v>2</v>
      </c>
      <c r="H470" s="360">
        <f>H$467*$G470</f>
        <v>0</v>
      </c>
      <c r="I470" s="360"/>
      <c r="J470" s="360"/>
      <c r="K470" s="360"/>
      <c r="L470" s="360"/>
      <c r="M470" s="332"/>
      <c r="N470" s="340"/>
      <c r="O470" s="341"/>
    </row>
    <row r="471" spans="1:15" ht="16.2" outlineLevel="1">
      <c r="A471" s="288"/>
      <c r="B471" s="351" t="s">
        <v>708</v>
      </c>
      <c r="C471" s="388" t="str">
        <f>IF(OR(I471&lt;&gt;0,H471&lt;&gt;0),"x"," ")</f>
        <v xml:space="preserve"> </v>
      </c>
      <c r="D471" s="338"/>
      <c r="E471" s="358" t="str">
        <f>VLOOKUP($B471,DG!A:D,DG!$C$2,)</f>
        <v>Boulon 16x50</v>
      </c>
      <c r="F471" s="338" t="str">
        <f>VLOOKUP($B471,DG!A:D,DG!$D$2,)</f>
        <v>bộ</v>
      </c>
      <c r="G471" s="359">
        <v>1</v>
      </c>
      <c r="H471" s="360">
        <f>H$467*$G471</f>
        <v>0</v>
      </c>
      <c r="I471" s="360"/>
      <c r="J471" s="360"/>
      <c r="K471" s="360"/>
      <c r="L471" s="360"/>
      <c r="M471" s="332"/>
      <c r="N471" s="340"/>
      <c r="O471" s="341"/>
    </row>
    <row r="472" spans="1:15" ht="16.2" outlineLevel="1">
      <c r="A472" s="288"/>
      <c r="B472" s="351" t="s">
        <v>803</v>
      </c>
      <c r="C472" s="388" t="str">
        <f>IF(OR(I472&lt;&gt;0,H472&lt;&gt;0),"x"," ")</f>
        <v xml:space="preserve"> </v>
      </c>
      <c r="D472" s="338"/>
      <c r="E472" s="358" t="str">
        <f>VLOOKUP($B472,DG!A:D,DG!$C$2,)</f>
        <v>Boulon 16x100</v>
      </c>
      <c r="F472" s="338" t="str">
        <f>VLOOKUP($B472,DG!A:D,DG!$D$2,)</f>
        <v>bộ</v>
      </c>
      <c r="G472" s="359">
        <v>8</v>
      </c>
      <c r="H472" s="360">
        <f>H$467*$G472</f>
        <v>0</v>
      </c>
      <c r="I472" s="360"/>
      <c r="J472" s="360"/>
      <c r="K472" s="360"/>
      <c r="L472" s="360"/>
      <c r="M472" s="332"/>
      <c r="N472" s="340"/>
      <c r="O472" s="341"/>
    </row>
    <row r="473" spans="1:15" ht="16.2" outlineLevel="1">
      <c r="A473" s="288"/>
      <c r="B473" s="351" t="s">
        <v>767</v>
      </c>
      <c r="C473" s="388" t="str">
        <f>IF(OR(I473&lt;&gt;0,H473&lt;&gt;0),"x"," ")</f>
        <v xml:space="preserve"> </v>
      </c>
      <c r="D473" s="338"/>
      <c r="E473" s="366" t="str">
        <f>VLOOKUP($B473,DG!A:D,DG!$C$2,)</f>
        <v>Lắp xà cột Pi loại ≤140kg/xà</v>
      </c>
      <c r="F473" s="338" t="str">
        <f>VLOOKUP($B473,DG!A:D,DG!$D$2,)</f>
        <v>bộ</v>
      </c>
      <c r="G473" s="359">
        <v>1</v>
      </c>
      <c r="H473" s="360"/>
      <c r="I473" s="360"/>
      <c r="J473" s="360"/>
      <c r="K473" s="360"/>
      <c r="L473" s="360"/>
      <c r="M473" s="332"/>
      <c r="N473" s="340"/>
      <c r="O473" s="341"/>
    </row>
    <row r="474" spans="1:15" ht="16.2" outlineLevel="1">
      <c r="A474" s="288"/>
      <c r="B474" s="351" t="s">
        <v>710</v>
      </c>
      <c r="C474" s="388" t="str">
        <f>IF(OR(I474&lt;&gt;0,H474&lt;&gt;0),"x"," ")</f>
        <v xml:space="preserve"> </v>
      </c>
      <c r="D474" s="338"/>
      <c r="E474" s="366" t="str">
        <f>VLOOKUP($B474,DG!A:D,DG!$C$2,)</f>
        <v>Bốc dỡ xà, thép thanh</v>
      </c>
      <c r="F474" s="338" t="str">
        <f>VLOOKUP($B474,DG!A:D,DG!$D$2,)</f>
        <v>tấn</v>
      </c>
      <c r="G474" s="353">
        <f>G475</f>
        <v>6.8000000000000005E-2</v>
      </c>
      <c r="H474" s="360"/>
      <c r="I474" s="360"/>
      <c r="J474" s="360"/>
      <c r="K474" s="360"/>
      <c r="L474" s="360"/>
      <c r="M474" s="332"/>
      <c r="N474" s="340"/>
      <c r="O474" s="341"/>
    </row>
    <row r="475" spans="1:15" ht="16.2" outlineLevel="1">
      <c r="A475" s="288"/>
      <c r="B475" s="356" t="s">
        <v>711</v>
      </c>
      <c r="C475" s="388" t="str">
        <f>IF(OR(I475&lt;&gt;0,H475&lt;&gt;0),"x"," ")</f>
        <v xml:space="preserve"> </v>
      </c>
      <c r="D475" s="338" t="str">
        <f>VLOOKUP($B475,DG!A:C,2,)</f>
        <v>02.1361</v>
      </c>
      <c r="E475" s="366" t="str">
        <f>VLOOKUP($B475,DG!A:C,3,)</f>
        <v>V/c xà vào vị trí (cư ly &lt;=100m)</v>
      </c>
      <c r="F475" s="338" t="str">
        <f>VLOOKUP($B475,DG!A:D,4,0)</f>
        <v>tấn</v>
      </c>
      <c r="G475" s="353">
        <f>ROUND(SUM(G468:G468)*1.05/1000,3)+ROUND(2*15.14/1000,3)</f>
        <v>6.8000000000000005E-2</v>
      </c>
      <c r="H475" s="354"/>
      <c r="I475" s="354"/>
      <c r="J475" s="354"/>
      <c r="K475" s="354"/>
      <c r="L475" s="354"/>
      <c r="M475" s="332"/>
      <c r="N475" s="340"/>
      <c r="O475" s="341"/>
    </row>
    <row r="476" spans="1:15" ht="16.2" outlineLevel="1">
      <c r="A476" s="288"/>
      <c r="B476" s="356" t="s">
        <v>447</v>
      </c>
      <c r="C476" s="388" t="str">
        <f>IF(OR(I476&lt;&gt;0,H476&lt;&gt;0),"x"," ")</f>
        <v xml:space="preserve"> </v>
      </c>
      <c r="D476" s="338" t="str">
        <f>VLOOKUP($B476,DG!A:C,2,)</f>
        <v>02.1482</v>
      </c>
      <c r="E476" s="366" t="str">
        <f>VLOOKUP($B476,DG!A:C,3,)</f>
        <v>V/c dụng cụ thi công vào vị trí (cự ly &lt;=100m)</v>
      </c>
      <c r="F476" s="338" t="str">
        <f>VLOOKUP($B476,DG!A:D,4,0)</f>
        <v>tấn</v>
      </c>
      <c r="G476" s="357">
        <v>0.05</v>
      </c>
      <c r="H476" s="354"/>
      <c r="I476" s="354"/>
      <c r="J476" s="354"/>
      <c r="K476" s="354"/>
      <c r="L476" s="354"/>
      <c r="M476" s="332"/>
      <c r="N476" s="340"/>
      <c r="O476" s="341"/>
    </row>
    <row r="477" spans="1:15" ht="16.2" outlineLevel="1">
      <c r="A477" s="342" t="s">
        <v>804</v>
      </c>
      <c r="B477" s="343" t="s">
        <v>804</v>
      </c>
      <c r="C477" s="388" t="str">
        <f>IF(OR(I477&lt;&gt;0,H477&lt;&gt;0),"x"," ")</f>
        <v xml:space="preserve"> </v>
      </c>
      <c r="D477" s="345"/>
      <c r="E477" s="346" t="s">
        <v>805</v>
      </c>
      <c r="F477" s="347" t="s">
        <v>285</v>
      </c>
      <c r="G477" s="348"/>
      <c r="H477" s="349">
        <f>IFERROR(HLOOKUP(B477,'BKT-ThuHoi'!$5:$183,179,0),0)</f>
        <v>0</v>
      </c>
      <c r="I477" s="350">
        <f>H477+J477-K477</f>
        <v>0</v>
      </c>
      <c r="J477" s="350"/>
      <c r="K477" s="350"/>
      <c r="L477" s="350"/>
      <c r="M477" s="332"/>
      <c r="N477" s="340"/>
      <c r="O477" s="341"/>
    </row>
    <row r="478" spans="1:15" ht="16.2" outlineLevel="1">
      <c r="A478" s="288"/>
      <c r="B478" s="351" t="s">
        <v>704</v>
      </c>
      <c r="C478" s="388" t="str">
        <f>IF(OR(I478&lt;&gt;0,H478&lt;&gt;0),"x"," ")</f>
        <v xml:space="preserve"> </v>
      </c>
      <c r="D478" s="338"/>
      <c r="E478" s="358" t="str">
        <f>VLOOKUP($B478,DG!A:D,DG!$C$2,)</f>
        <v>Sắt góc L75 x75 x8</v>
      </c>
      <c r="F478" s="338" t="str">
        <f>VLOOKUP($B478,DG!A:D,DG!$D$2,)</f>
        <v>kg</v>
      </c>
      <c r="G478" s="357">
        <f>9.02*2.3*2</f>
        <v>41.491999999999997</v>
      </c>
      <c r="H478" s="360">
        <f>H$477*$G478</f>
        <v>0</v>
      </c>
      <c r="I478" s="360"/>
      <c r="J478" s="360"/>
      <c r="K478" s="360"/>
      <c r="L478" s="360"/>
      <c r="M478" s="332"/>
      <c r="N478" s="340"/>
      <c r="O478" s="341"/>
    </row>
    <row r="479" spans="1:15" ht="16.2" outlineLevel="1">
      <c r="A479" s="288"/>
      <c r="B479" s="351" t="s">
        <v>806</v>
      </c>
      <c r="C479" s="388" t="str">
        <f>IF(OR(I479&lt;&gt;0,H479&lt;&gt;0),"x"," ")</f>
        <v xml:space="preserve"> </v>
      </c>
      <c r="D479" s="338"/>
      <c r="E479" s="358" t="str">
        <f>VLOOKUP($B479,DG!A:D,DG!$C$2,)</f>
        <v>Ê KE 5x300x300\Zn</v>
      </c>
      <c r="F479" s="338" t="str">
        <f>VLOOKUP($B479,DG!A:D,DG!$D$2,)</f>
        <v>kg</v>
      </c>
      <c r="G479" s="357">
        <v>3.5</v>
      </c>
      <c r="H479" s="360">
        <f>H$477*$G479</f>
        <v>0</v>
      </c>
      <c r="I479" s="360"/>
      <c r="J479" s="360"/>
      <c r="K479" s="360"/>
      <c r="L479" s="360"/>
      <c r="M479" s="332"/>
      <c r="N479" s="340"/>
      <c r="O479" s="341"/>
    </row>
    <row r="480" spans="1:15" ht="16.2" outlineLevel="1">
      <c r="A480" s="288"/>
      <c r="B480" s="351" t="s">
        <v>802</v>
      </c>
      <c r="C480" s="388" t="str">
        <f>IF(OR(I480&lt;&gt;0,H480&lt;&gt;0),"x"," ")</f>
        <v xml:space="preserve"> </v>
      </c>
      <c r="D480" s="338"/>
      <c r="E480" s="358" t="str">
        <f>VLOOKUP($B480,DG!A:D,DG!$C$2,)</f>
        <v>Cổ dê Ø 250-Fe 8x100</v>
      </c>
      <c r="F480" s="338" t="str">
        <f>VLOOKUP($B480,DG!A:D,DG!$D$2,)</f>
        <v>bộ</v>
      </c>
      <c r="G480" s="359">
        <v>4</v>
      </c>
      <c r="H480" s="360">
        <f>H$477*$G480</f>
        <v>0</v>
      </c>
      <c r="I480" s="360"/>
      <c r="J480" s="360"/>
      <c r="K480" s="360"/>
      <c r="L480" s="360"/>
      <c r="M480" s="332"/>
      <c r="N480" s="340"/>
      <c r="O480" s="341"/>
    </row>
    <row r="481" spans="1:15" ht="16.2" outlineLevel="1">
      <c r="A481" s="288"/>
      <c r="B481" s="351" t="s">
        <v>708</v>
      </c>
      <c r="C481" s="388" t="str">
        <f>IF(OR(I481&lt;&gt;0,H481&lt;&gt;0),"x"," ")</f>
        <v xml:space="preserve"> </v>
      </c>
      <c r="D481" s="338"/>
      <c r="E481" s="358" t="str">
        <f>VLOOKUP($B481,DG!A:D,DG!$C$2,)</f>
        <v>Boulon 16x50</v>
      </c>
      <c r="F481" s="338" t="str">
        <f>VLOOKUP($B481,DG!A:D,DG!$D$2,)</f>
        <v>bộ</v>
      </c>
      <c r="G481" s="359">
        <v>5</v>
      </c>
      <c r="H481" s="360">
        <f>H$477*$G481</f>
        <v>0</v>
      </c>
      <c r="I481" s="360"/>
      <c r="J481" s="360"/>
      <c r="K481" s="360"/>
      <c r="L481" s="360"/>
      <c r="M481" s="332"/>
      <c r="N481" s="340"/>
      <c r="O481" s="341"/>
    </row>
    <row r="482" spans="1:15" ht="16.2" outlineLevel="1">
      <c r="A482" s="288"/>
      <c r="B482" s="351" t="s">
        <v>803</v>
      </c>
      <c r="C482" s="388" t="str">
        <f>IF(OR(I482&lt;&gt;0,H482&lt;&gt;0),"x"," ")</f>
        <v xml:space="preserve"> </v>
      </c>
      <c r="D482" s="338"/>
      <c r="E482" s="358" t="str">
        <f>VLOOKUP($B482,DG!A:D,DG!$C$2,)</f>
        <v>Boulon 16x100</v>
      </c>
      <c r="F482" s="338" t="str">
        <f>VLOOKUP($B482,DG!A:D,DG!$D$2,)</f>
        <v>bộ</v>
      </c>
      <c r="G482" s="359">
        <v>8</v>
      </c>
      <c r="H482" s="360">
        <f>H$477*$G482</f>
        <v>0</v>
      </c>
      <c r="I482" s="360"/>
      <c r="J482" s="360"/>
      <c r="K482" s="360"/>
      <c r="L482" s="360"/>
      <c r="M482" s="332"/>
      <c r="N482" s="340"/>
      <c r="O482" s="341"/>
    </row>
    <row r="483" spans="1:15" ht="16.2" outlineLevel="1">
      <c r="A483" s="288"/>
      <c r="B483" s="351" t="s">
        <v>767</v>
      </c>
      <c r="C483" s="388" t="str">
        <f>IF(OR(I483&lt;&gt;0,H483&lt;&gt;0),"x"," ")</f>
        <v xml:space="preserve"> </v>
      </c>
      <c r="D483" s="338"/>
      <c r="E483" s="366" t="str">
        <f>VLOOKUP($B483,DG!A:D,DG!$C$2,)</f>
        <v>Lắp xà cột Pi loại ≤140kg/xà</v>
      </c>
      <c r="F483" s="338" t="str">
        <f>VLOOKUP($B483,DG!A:D,DG!$D$2,)</f>
        <v>bộ</v>
      </c>
      <c r="G483" s="359">
        <v>1</v>
      </c>
      <c r="H483" s="360"/>
      <c r="I483" s="360"/>
      <c r="J483" s="360"/>
      <c r="K483" s="360"/>
      <c r="L483" s="360"/>
      <c r="M483" s="332"/>
      <c r="N483" s="340"/>
      <c r="O483" s="341"/>
    </row>
    <row r="484" spans="1:15" ht="16.2" outlineLevel="1">
      <c r="A484" s="288"/>
      <c r="B484" s="351" t="s">
        <v>710</v>
      </c>
      <c r="C484" s="388" t="str">
        <f>IF(OR(I484&lt;&gt;0,H484&lt;&gt;0),"x"," ")</f>
        <v xml:space="preserve"> </v>
      </c>
      <c r="D484" s="338"/>
      <c r="E484" s="366" t="str">
        <f>VLOOKUP($B484,DG!A:D,DG!$C$2,)</f>
        <v>Bốc dỡ xà, thép thanh</v>
      </c>
      <c r="F484" s="338" t="str">
        <f>VLOOKUP($B484,DG!A:D,DG!$D$2,)</f>
        <v>tấn</v>
      </c>
      <c r="G484" s="353">
        <f>G485</f>
        <v>7.7499999999999999E-2</v>
      </c>
      <c r="H484" s="360"/>
      <c r="I484" s="360"/>
      <c r="J484" s="360"/>
      <c r="K484" s="360"/>
      <c r="L484" s="360"/>
      <c r="M484" s="332"/>
      <c r="N484" s="340"/>
      <c r="O484" s="341"/>
    </row>
    <row r="485" spans="1:15" ht="16.2" outlineLevel="1">
      <c r="A485" s="288"/>
      <c r="B485" s="356" t="s">
        <v>711</v>
      </c>
      <c r="C485" s="388" t="str">
        <f>IF(OR(I485&lt;&gt;0,H485&lt;&gt;0),"x"," ")</f>
        <v xml:space="preserve"> </v>
      </c>
      <c r="D485" s="338" t="str">
        <f>VLOOKUP($B485,DG!A:C,2,)</f>
        <v>02.1361</v>
      </c>
      <c r="E485" s="366" t="str">
        <f>VLOOKUP($B485,DG!A:C,3,)</f>
        <v>V/c xà vào vị trí (cư ly &lt;=100m)</v>
      </c>
      <c r="F485" s="338" t="str">
        <f>VLOOKUP($B485,DG!A:D,4,0)</f>
        <v>tấn</v>
      </c>
      <c r="G485" s="353">
        <f>ROUND(SUM(G478:G478)*1.05/1000,3)+ROUND(2*15.14/1000,3)+G479/1000</f>
        <v>7.7499999999999999E-2</v>
      </c>
      <c r="H485" s="354"/>
      <c r="I485" s="354"/>
      <c r="J485" s="354"/>
      <c r="K485" s="354"/>
      <c r="L485" s="354"/>
      <c r="M485" s="332"/>
      <c r="N485" s="340"/>
      <c r="O485" s="341"/>
    </row>
    <row r="486" spans="1:15" ht="16.2" outlineLevel="1">
      <c r="A486" s="288"/>
      <c r="B486" s="356" t="s">
        <v>447</v>
      </c>
      <c r="C486" s="388" t="str">
        <f>IF(OR(I486&lt;&gt;0,H486&lt;&gt;0),"x"," ")</f>
        <v xml:space="preserve"> </v>
      </c>
      <c r="D486" s="338" t="str">
        <f>VLOOKUP($B486,DG!A:C,2,)</f>
        <v>02.1482</v>
      </c>
      <c r="E486" s="366" t="str">
        <f>VLOOKUP($B486,DG!A:C,3,)</f>
        <v>V/c dụng cụ thi công vào vị trí (cự ly &lt;=100m)</v>
      </c>
      <c r="F486" s="338" t="str">
        <f>VLOOKUP($B486,DG!A:D,4,0)</f>
        <v>tấn</v>
      </c>
      <c r="G486" s="357">
        <v>0.05</v>
      </c>
      <c r="H486" s="354"/>
      <c r="I486" s="354"/>
      <c r="J486" s="354"/>
      <c r="K486" s="354"/>
      <c r="L486" s="354"/>
      <c r="M486" s="332"/>
      <c r="N486" s="340"/>
      <c r="O486" s="341"/>
    </row>
    <row r="487" spans="1:15" ht="16.2" outlineLevel="1">
      <c r="A487" s="342" t="s">
        <v>807</v>
      </c>
      <c r="B487" s="343" t="s">
        <v>807</v>
      </c>
      <c r="C487" s="388" t="str">
        <f>IF(OR(I487&lt;&gt;0,H487&lt;&gt;0),"x"," ")</f>
        <v xml:space="preserve"> </v>
      </c>
      <c r="D487" s="345"/>
      <c r="E487" s="346" t="s">
        <v>808</v>
      </c>
      <c r="F487" s="347" t="s">
        <v>285</v>
      </c>
      <c r="G487" s="348"/>
      <c r="H487" s="349">
        <f>IFERROR(HLOOKUP(B487,'BKT-ThuHoi'!$5:$183,179,0),0)</f>
        <v>0</v>
      </c>
      <c r="I487" s="350">
        <f>H487+J487-K487</f>
        <v>0</v>
      </c>
      <c r="J487" s="350"/>
      <c r="K487" s="350"/>
      <c r="L487" s="350"/>
      <c r="M487" s="332"/>
      <c r="N487" s="340"/>
      <c r="O487" s="341"/>
    </row>
    <row r="488" spans="1:15" ht="16.2" outlineLevel="1">
      <c r="A488" s="288"/>
      <c r="B488" s="351" t="s">
        <v>705</v>
      </c>
      <c r="C488" s="388" t="str">
        <f>IF(OR(I488&lt;&gt;0,H488&lt;&gt;0),"x"," ")</f>
        <v xml:space="preserve"> </v>
      </c>
      <c r="D488" s="338"/>
      <c r="E488" s="358" t="str">
        <f>VLOOKUP($B488,DG!A:D,DG!$C$2,)</f>
        <v>Sắt góc L50 x50 x5</v>
      </c>
      <c r="F488" s="338" t="str">
        <f>VLOOKUP($B488,DG!A:D,DG!$D$2,)</f>
        <v>kg</v>
      </c>
      <c r="G488" s="357">
        <f>3.77*(0.72)*4</f>
        <v>10.8576</v>
      </c>
      <c r="H488" s="360">
        <f t="shared" ref="H488:H490" si="23">H$487*$G488</f>
        <v>0</v>
      </c>
      <c r="I488" s="360"/>
      <c r="J488" s="360"/>
      <c r="K488" s="360"/>
      <c r="L488" s="360"/>
      <c r="M488" s="332"/>
      <c r="N488" s="340"/>
      <c r="O488" s="341"/>
    </row>
    <row r="489" spans="1:15" ht="16.2" outlineLevel="1">
      <c r="A489" s="288"/>
      <c r="B489" s="351" t="s">
        <v>809</v>
      </c>
      <c r="C489" s="388" t="str">
        <f>IF(OR(I489&lt;&gt;0,H489&lt;&gt;0),"x"," ")</f>
        <v xml:space="preserve"> </v>
      </c>
      <c r="D489" s="338"/>
      <c r="E489" s="358" t="str">
        <f>VLOOKUP($B489,DG!A:D,DG!$C$2,)</f>
        <v>Boulon 16x350</v>
      </c>
      <c r="F489" s="338" t="str">
        <f>VLOOKUP($B489,DG!A:D,DG!$D$2,)</f>
        <v>bộ</v>
      </c>
      <c r="G489" s="359">
        <v>4</v>
      </c>
      <c r="H489" s="360">
        <f t="shared" si="23"/>
        <v>0</v>
      </c>
      <c r="I489" s="360"/>
      <c r="J489" s="360"/>
      <c r="K489" s="360"/>
      <c r="L489" s="360"/>
      <c r="M489" s="332"/>
      <c r="N489" s="340"/>
      <c r="O489" s="341"/>
    </row>
    <row r="490" spans="1:15" ht="16.2" outlineLevel="1">
      <c r="A490" s="288"/>
      <c r="B490" s="351" t="s">
        <v>708</v>
      </c>
      <c r="C490" s="388" t="str">
        <f>IF(OR(I490&lt;&gt;0,H490&lt;&gt;0),"x"," ")</f>
        <v xml:space="preserve"> </v>
      </c>
      <c r="D490" s="338"/>
      <c r="E490" s="358" t="str">
        <f>VLOOKUP($B490,DG!A:D,DG!$C$2,)</f>
        <v>Boulon 16x50</v>
      </c>
      <c r="F490" s="338" t="str">
        <f>VLOOKUP($B490,DG!A:D,DG!$D$2,)</f>
        <v>bộ</v>
      </c>
      <c r="G490" s="359">
        <v>2</v>
      </c>
      <c r="H490" s="360">
        <f t="shared" si="23"/>
        <v>0</v>
      </c>
      <c r="I490" s="360"/>
      <c r="J490" s="360"/>
      <c r="K490" s="360"/>
      <c r="L490" s="360"/>
      <c r="M490" s="332"/>
      <c r="N490" s="340"/>
      <c r="O490" s="341"/>
    </row>
    <row r="491" spans="1:15" ht="16.2" outlineLevel="1">
      <c r="A491" s="288"/>
      <c r="B491" s="351" t="s">
        <v>709</v>
      </c>
      <c r="C491" s="388" t="str">
        <f>IF(OR(I491&lt;&gt;0,H491&lt;&gt;0),"x"," ")</f>
        <v xml:space="preserve"> </v>
      </c>
      <c r="D491" s="338"/>
      <c r="E491" s="366" t="str">
        <f>VLOOKUP($B491,DG!A:D,DG!$C$2,)</f>
        <v>Lắp xà đỡ ≤ 25kg</v>
      </c>
      <c r="F491" s="338" t="str">
        <f>VLOOKUP($B491,DG!A:D,DG!$D$2,)</f>
        <v>bộ</v>
      </c>
      <c r="G491" s="359">
        <v>1</v>
      </c>
      <c r="H491" s="360"/>
      <c r="I491" s="360"/>
      <c r="J491" s="360"/>
      <c r="K491" s="360"/>
      <c r="L491" s="360"/>
      <c r="M491" s="332"/>
      <c r="N491" s="340"/>
      <c r="O491" s="341"/>
    </row>
    <row r="492" spans="1:15" ht="16.2" outlineLevel="1">
      <c r="A492" s="288"/>
      <c r="B492" s="351" t="s">
        <v>710</v>
      </c>
      <c r="C492" s="388" t="str">
        <f>IF(OR(I492&lt;&gt;0,H492&lt;&gt;0),"x"," ")</f>
        <v xml:space="preserve"> </v>
      </c>
      <c r="D492" s="338"/>
      <c r="E492" s="366" t="str">
        <f>VLOOKUP($B492,DG!A:D,DG!$C$2,)</f>
        <v>Bốc dỡ xà, thép thanh</v>
      </c>
      <c r="F492" s="338" t="str">
        <f>VLOOKUP($B492,DG!A:D,DG!$D$2,)</f>
        <v>tấn</v>
      </c>
      <c r="G492" s="353"/>
      <c r="H492" s="360"/>
      <c r="I492" s="360"/>
      <c r="J492" s="360"/>
      <c r="K492" s="360"/>
      <c r="L492" s="360"/>
      <c r="M492" s="332"/>
      <c r="N492" s="340"/>
      <c r="O492" s="341"/>
    </row>
    <row r="493" spans="1:15" ht="16.2" outlineLevel="1">
      <c r="A493" s="288"/>
      <c r="B493" s="356" t="s">
        <v>711</v>
      </c>
      <c r="C493" s="388" t="str">
        <f>IF(OR(I493&lt;&gt;0,H493&lt;&gt;0),"x"," ")</f>
        <v xml:space="preserve"> </v>
      </c>
      <c r="D493" s="338" t="str">
        <f>VLOOKUP($B493,DG!A:C,2,)</f>
        <v>02.1361</v>
      </c>
      <c r="E493" s="366" t="str">
        <f>VLOOKUP($B493,DG!A:C,3,)</f>
        <v>V/c xà vào vị trí (cư ly &lt;=100m)</v>
      </c>
      <c r="F493" s="338" t="str">
        <f>VLOOKUP($B493,DG!A:D,4,0)</f>
        <v>tấn</v>
      </c>
      <c r="G493" s="353"/>
      <c r="H493" s="354"/>
      <c r="I493" s="354"/>
      <c r="J493" s="354"/>
      <c r="K493" s="354"/>
      <c r="L493" s="354"/>
      <c r="M493" s="332"/>
      <c r="N493" s="340"/>
      <c r="O493" s="341"/>
    </row>
    <row r="494" spans="1:15" ht="16.2" outlineLevel="1">
      <c r="A494" s="288"/>
      <c r="B494" s="356" t="s">
        <v>447</v>
      </c>
      <c r="C494" s="388" t="str">
        <f>IF(OR(I494&lt;&gt;0,H494&lt;&gt;0),"x"," ")</f>
        <v xml:space="preserve"> </v>
      </c>
      <c r="D494" s="338" t="str">
        <f>VLOOKUP($B494,DG!A:C,2,)</f>
        <v>02.1482</v>
      </c>
      <c r="E494" s="366" t="str">
        <f>VLOOKUP($B494,DG!A:C,3,)</f>
        <v>V/c dụng cụ thi công vào vị trí (cự ly &lt;=100m)</v>
      </c>
      <c r="F494" s="338" t="str">
        <f>VLOOKUP($B494,DG!A:D,4,0)</f>
        <v>tấn</v>
      </c>
      <c r="G494" s="357"/>
      <c r="H494" s="354"/>
      <c r="I494" s="354"/>
      <c r="J494" s="354"/>
      <c r="K494" s="354"/>
      <c r="L494" s="354"/>
      <c r="M494" s="332"/>
      <c r="N494" s="340"/>
      <c r="O494" s="341"/>
    </row>
    <row r="495" spans="1:15" ht="16.2" outlineLevel="1">
      <c r="A495" s="342" t="s">
        <v>810</v>
      </c>
      <c r="B495" s="343" t="s">
        <v>810</v>
      </c>
      <c r="C495" s="388" t="str">
        <f>IF(OR(I495&lt;&gt;0,H495&lt;&gt;0),"x"," ")</f>
        <v xml:space="preserve"> </v>
      </c>
      <c r="D495" s="345"/>
      <c r="E495" s="346" t="s">
        <v>811</v>
      </c>
      <c r="F495" s="347" t="s">
        <v>285</v>
      </c>
      <c r="G495" s="348"/>
      <c r="H495" s="349">
        <f>IFERROR(HLOOKUP(B495,'BKT-ThuHoi'!$5:$183,179,0),0)</f>
        <v>0</v>
      </c>
      <c r="I495" s="350">
        <f>H495+J495-K495</f>
        <v>0</v>
      </c>
      <c r="J495" s="350"/>
      <c r="K495" s="350"/>
      <c r="L495" s="350"/>
      <c r="M495" s="332"/>
      <c r="N495" s="340"/>
      <c r="O495" s="341"/>
    </row>
    <row r="496" spans="1:15" ht="16.2" outlineLevel="1">
      <c r="A496" s="288"/>
      <c r="B496" s="351" t="s">
        <v>801</v>
      </c>
      <c r="C496" s="388" t="str">
        <f>IF(OR(I496&lt;&gt;0,H496&lt;&gt;0),"x"," ")</f>
        <v xml:space="preserve"> </v>
      </c>
      <c r="D496" s="338"/>
      <c r="E496" s="358" t="str">
        <f>VLOOKUP($B496,DG!A:D,DG!$C$2,)</f>
        <v>Cổ dê  Ø 240-Fe 8x100</v>
      </c>
      <c r="F496" s="338" t="str">
        <f>VLOOKUP($B496,DG!A:D,DG!$D$2,)</f>
        <v>bộ</v>
      </c>
      <c r="G496" s="359">
        <v>2</v>
      </c>
      <c r="H496" s="360">
        <f t="shared" ref="H496:H497" si="24">H$495*$G496</f>
        <v>0</v>
      </c>
      <c r="I496" s="360"/>
      <c r="J496" s="360"/>
      <c r="K496" s="360"/>
      <c r="L496" s="360"/>
      <c r="M496" s="332"/>
      <c r="N496" s="340"/>
      <c r="O496" s="341"/>
    </row>
    <row r="497" spans="1:15" ht="16.2" outlineLevel="1">
      <c r="A497" s="288"/>
      <c r="B497" s="351" t="s">
        <v>803</v>
      </c>
      <c r="C497" s="388" t="str">
        <f>IF(OR(I497&lt;&gt;0,H497&lt;&gt;0),"x"," ")</f>
        <v xml:space="preserve"> </v>
      </c>
      <c r="D497" s="338"/>
      <c r="E497" s="358" t="str">
        <f>VLOOKUP($B497,DG!A:D,DG!$C$2,)</f>
        <v>Boulon 16x100</v>
      </c>
      <c r="F497" s="338" t="str">
        <f>VLOOKUP($B497,DG!A:D,DG!$D$2,)</f>
        <v>bộ</v>
      </c>
      <c r="G497" s="359">
        <v>2</v>
      </c>
      <c r="H497" s="360">
        <f t="shared" si="24"/>
        <v>0</v>
      </c>
      <c r="I497" s="360"/>
      <c r="J497" s="360"/>
      <c r="K497" s="360"/>
      <c r="L497" s="360"/>
      <c r="M497" s="332"/>
      <c r="N497" s="340"/>
      <c r="O497" s="341"/>
    </row>
    <row r="498" spans="1:15" ht="16.2" outlineLevel="1">
      <c r="A498" s="288"/>
      <c r="B498" s="351" t="s">
        <v>709</v>
      </c>
      <c r="C498" s="388" t="str">
        <f>IF(OR(I498&lt;&gt;0,H498&lt;&gt;0),"x"," ")</f>
        <v xml:space="preserve"> </v>
      </c>
      <c r="D498" s="338"/>
      <c r="E498" s="366" t="str">
        <f>VLOOKUP($B498,DG!A:D,DG!$C$2,)</f>
        <v>Lắp xà đỡ ≤ 25kg</v>
      </c>
      <c r="F498" s="338" t="str">
        <f>VLOOKUP($B498,DG!A:D,DG!$D$2,)</f>
        <v>bộ</v>
      </c>
      <c r="G498" s="359">
        <v>1</v>
      </c>
      <c r="H498" s="360"/>
      <c r="I498" s="360"/>
      <c r="J498" s="360"/>
      <c r="K498" s="360"/>
      <c r="L498" s="360"/>
      <c r="M498" s="332"/>
      <c r="N498" s="340"/>
      <c r="O498" s="341"/>
    </row>
    <row r="499" spans="1:15" ht="16.2" outlineLevel="1">
      <c r="A499" s="288"/>
      <c r="B499" s="351" t="s">
        <v>710</v>
      </c>
      <c r="C499" s="388" t="str">
        <f>IF(OR(I499&lt;&gt;0,H499&lt;&gt;0),"x"," ")</f>
        <v xml:space="preserve"> </v>
      </c>
      <c r="D499" s="338"/>
      <c r="E499" s="366" t="str">
        <f>VLOOKUP($B499,DG!A:D,DG!$C$2,)</f>
        <v>Bốc dỡ xà, thép thanh</v>
      </c>
      <c r="F499" s="338" t="str">
        <f>VLOOKUP($B499,DG!A:D,DG!$D$2,)</f>
        <v>tấn</v>
      </c>
      <c r="G499" s="353">
        <f>G500</f>
        <v>1.7000000000000001E-2</v>
      </c>
      <c r="H499" s="360"/>
      <c r="I499" s="360"/>
      <c r="J499" s="360"/>
      <c r="K499" s="360"/>
      <c r="L499" s="360"/>
      <c r="M499" s="332"/>
      <c r="N499" s="340"/>
      <c r="O499" s="341"/>
    </row>
    <row r="500" spans="1:15" ht="16.2" outlineLevel="1">
      <c r="A500" s="288"/>
      <c r="B500" s="356" t="s">
        <v>711</v>
      </c>
      <c r="C500" s="388" t="str">
        <f>IF(OR(I500&lt;&gt;0,H500&lt;&gt;0),"x"," ")</f>
        <v xml:space="preserve"> </v>
      </c>
      <c r="D500" s="338" t="str">
        <f>VLOOKUP($B500,DG!A:C,2,)</f>
        <v>02.1361</v>
      </c>
      <c r="E500" s="366" t="str">
        <f>VLOOKUP($B500,DG!A:C,3,)</f>
        <v>V/c xà vào vị trí (cư ly &lt;=100m)</v>
      </c>
      <c r="F500" s="338" t="str">
        <f>VLOOKUP($B500,DG!A:D,4,0)</f>
        <v>tấn</v>
      </c>
      <c r="G500" s="353">
        <f>ROUND((2*8+2*0.25)*1.05/1000,3)</f>
        <v>1.7000000000000001E-2</v>
      </c>
      <c r="H500" s="354"/>
      <c r="I500" s="354"/>
      <c r="J500" s="354"/>
      <c r="K500" s="354"/>
      <c r="L500" s="354"/>
      <c r="M500" s="332"/>
      <c r="N500" s="340"/>
      <c r="O500" s="341"/>
    </row>
    <row r="501" spans="1:15" ht="16.2" outlineLevel="1">
      <c r="A501" s="288"/>
      <c r="B501" s="356" t="s">
        <v>447</v>
      </c>
      <c r="C501" s="388" t="str">
        <f>IF(OR(I501&lt;&gt;0,H501&lt;&gt;0),"x"," ")</f>
        <v xml:space="preserve"> </v>
      </c>
      <c r="D501" s="338" t="str">
        <f>VLOOKUP($B501,DG!A:C,2,)</f>
        <v>02.1482</v>
      </c>
      <c r="E501" s="366" t="str">
        <f>VLOOKUP($B501,DG!A:C,3,)</f>
        <v>V/c dụng cụ thi công vào vị trí (cự ly &lt;=100m)</v>
      </c>
      <c r="F501" s="338" t="str">
        <f>VLOOKUP($B501,DG!A:D,4,0)</f>
        <v>tấn</v>
      </c>
      <c r="G501" s="357">
        <v>0.02</v>
      </c>
      <c r="H501" s="354"/>
      <c r="I501" s="354"/>
      <c r="J501" s="354"/>
      <c r="K501" s="354"/>
      <c r="L501" s="354"/>
      <c r="M501" s="332"/>
      <c r="N501" s="340"/>
      <c r="O501" s="341"/>
    </row>
    <row r="502" spans="1:15" ht="16.2" outlineLevel="1">
      <c r="A502" s="372" t="s">
        <v>812</v>
      </c>
      <c r="B502" s="373" t="s">
        <v>812</v>
      </c>
      <c r="C502" s="388" t="str">
        <f>IF(OR(I502&lt;&gt;0,H502&lt;&gt;0),"x"," ")</f>
        <v xml:space="preserve"> </v>
      </c>
      <c r="D502" s="345"/>
      <c r="E502" s="346" t="s">
        <v>813</v>
      </c>
      <c r="F502" s="347" t="s">
        <v>285</v>
      </c>
      <c r="G502" s="348"/>
      <c r="H502" s="349">
        <f>IFERROR(HLOOKUP(B502,'BKT-ThuHoi'!$5:$183,179,0),0)</f>
        <v>0</v>
      </c>
      <c r="I502" s="349">
        <f>H502+J502-K502</f>
        <v>0</v>
      </c>
      <c r="J502" s="350"/>
      <c r="K502" s="350"/>
      <c r="L502" s="350"/>
      <c r="M502" s="340"/>
      <c r="N502" s="340"/>
      <c r="O502" s="341"/>
    </row>
    <row r="503" spans="1:15" ht="16.2" outlineLevel="1">
      <c r="B503" s="336" t="s">
        <v>814</v>
      </c>
      <c r="C503" s="388" t="str">
        <f>IF(OR(I503&lt;&gt;0,H503&lt;&gt;0),"x"," ")</f>
        <v xml:space="preserve"> </v>
      </c>
      <c r="D503" s="338"/>
      <c r="E503" s="358" t="str">
        <f>VLOOKUP($B503,DG!A:D,DG!$C$2,)</f>
        <v>Xà composite 110x800x5 dài 2,4m</v>
      </c>
      <c r="F503" s="338" t="str">
        <f>VLOOKUP($B503,DG!A:D,DG!$D$2,)</f>
        <v>cái</v>
      </c>
      <c r="G503" s="359">
        <v>1</v>
      </c>
      <c r="H503" s="360">
        <f t="shared" ref="H503:H508" si="25">$H$502*$G503</f>
        <v>0</v>
      </c>
      <c r="I503" s="380"/>
      <c r="J503" s="360"/>
      <c r="K503" s="360"/>
      <c r="L503" s="360"/>
      <c r="M503" s="340"/>
      <c r="N503" s="340"/>
      <c r="O503" s="341"/>
    </row>
    <row r="504" spans="1:15" ht="16.2" outlineLevel="1">
      <c r="A504" s="288"/>
      <c r="B504" s="351" t="s">
        <v>815</v>
      </c>
      <c r="C504" s="388" t="str">
        <f>IF(OR(I504&lt;&gt;0,H504&lt;&gt;0),"x"," ")</f>
        <v xml:space="preserve"> </v>
      </c>
      <c r="D504" s="338"/>
      <c r="E504" s="358" t="str">
        <f>VLOOKUP($B504,DG!A:D,DG!$C$2,)</f>
        <v>Xà composite 110x800x5</v>
      </c>
      <c r="F504" s="338" t="str">
        <f>VLOOKUP($B504,DG!A:D,DG!$D$2,)</f>
        <v>m</v>
      </c>
      <c r="G504" s="377">
        <f>2.4-2.4</f>
        <v>0</v>
      </c>
      <c r="H504" s="380">
        <f t="shared" si="25"/>
        <v>0</v>
      </c>
      <c r="I504" s="360"/>
      <c r="J504" s="360"/>
      <c r="K504" s="360"/>
      <c r="L504" s="360"/>
      <c r="M504" s="332"/>
      <c r="N504" s="340"/>
      <c r="O504" s="341"/>
    </row>
    <row r="505" spans="1:15" ht="16.2" outlineLevel="1">
      <c r="B505" s="336" t="s">
        <v>816</v>
      </c>
      <c r="C505" s="388" t="str">
        <f>IF(OR(I505&lt;&gt;0,H505&lt;&gt;0),"x"," ")</f>
        <v xml:space="preserve"> </v>
      </c>
      <c r="D505" s="338"/>
      <c r="E505" s="358" t="str">
        <f>VLOOKUP($B505,DG!A:D,DG!$C$2,)</f>
        <v>Chống composite 40x10x920</v>
      </c>
      <c r="F505" s="338" t="str">
        <f>VLOOKUP($B505,DG!A:D,DG!$D$2,)</f>
        <v>cái</v>
      </c>
      <c r="G505" s="359">
        <v>2</v>
      </c>
      <c r="H505" s="360">
        <f t="shared" si="25"/>
        <v>0</v>
      </c>
      <c r="I505" s="360">
        <f>$I$502*G505</f>
        <v>0</v>
      </c>
      <c r="J505" s="360"/>
      <c r="K505" s="360"/>
      <c r="L505" s="360"/>
      <c r="M505" s="340"/>
      <c r="N505" s="340"/>
      <c r="O505" s="341"/>
    </row>
    <row r="506" spans="1:15" ht="16.2" outlineLevel="1">
      <c r="B506" s="336" t="s">
        <v>817</v>
      </c>
      <c r="C506" s="388" t="str">
        <f>IF(OR(I506&lt;&gt;0,H506&lt;&gt;0),"x"," ")</f>
        <v xml:space="preserve"> </v>
      </c>
      <c r="D506" s="338"/>
      <c r="E506" s="358" t="str">
        <f>VLOOKUP($B506,DG!A:D,DG!$C$2,)</f>
        <v>Boulon 14x150</v>
      </c>
      <c r="F506" s="338" t="str">
        <f>VLOOKUP($B506,DG!A:D,DG!$D$2,)</f>
        <v>bộ</v>
      </c>
      <c r="G506" s="359">
        <v>2</v>
      </c>
      <c r="H506" s="360">
        <f t="shared" si="25"/>
        <v>0</v>
      </c>
      <c r="I506" s="360">
        <f>$I$502*G506</f>
        <v>0</v>
      </c>
      <c r="J506" s="360"/>
      <c r="K506" s="360"/>
      <c r="L506" s="360"/>
      <c r="M506" s="340"/>
      <c r="N506" s="340"/>
      <c r="O506" s="341"/>
    </row>
    <row r="507" spans="1:15" ht="16.2" outlineLevel="1">
      <c r="B507" s="336" t="s">
        <v>809</v>
      </c>
      <c r="C507" s="388" t="str">
        <f>IF(OR(I507&lt;&gt;0,H507&lt;&gt;0),"x"," ")</f>
        <v xml:space="preserve"> </v>
      </c>
      <c r="D507" s="338"/>
      <c r="E507" s="358" t="str">
        <f>VLOOKUP($B507,DG!A:D,DG!$C$2,)</f>
        <v>Boulon 16x350</v>
      </c>
      <c r="F507" s="338" t="str">
        <f>VLOOKUP($B507,DG!A:D,DG!$D$2,)</f>
        <v>bộ</v>
      </c>
      <c r="G507" s="359">
        <v>2</v>
      </c>
      <c r="H507" s="360">
        <f t="shared" si="25"/>
        <v>0</v>
      </c>
      <c r="I507" s="360">
        <f>$I$502*G507</f>
        <v>0</v>
      </c>
      <c r="J507" s="360"/>
      <c r="K507" s="360"/>
      <c r="L507" s="360"/>
      <c r="M507" s="340"/>
      <c r="N507" s="340"/>
      <c r="O507" s="341"/>
    </row>
    <row r="508" spans="1:15" ht="16.2" outlineLevel="1">
      <c r="B508" s="336" t="s">
        <v>709</v>
      </c>
      <c r="C508" s="388" t="str">
        <f>IF(OR(I508&lt;&gt;0,H508&lt;&gt;0),"x"," ")</f>
        <v xml:space="preserve"> </v>
      </c>
      <c r="D508" s="338"/>
      <c r="E508" s="366" t="str">
        <f>VLOOKUP($B508,DG!A:D,DG!$C$2,)</f>
        <v>Lắp xà đỡ ≤ 25kg</v>
      </c>
      <c r="F508" s="338" t="str">
        <f>VLOOKUP($B508,DG!A:D,DG!$D$2,)</f>
        <v>bộ</v>
      </c>
      <c r="G508" s="359">
        <v>1</v>
      </c>
      <c r="H508" s="360">
        <f t="shared" si="25"/>
        <v>0</v>
      </c>
      <c r="I508" s="360">
        <f>$I$502*G508</f>
        <v>0</v>
      </c>
      <c r="J508" s="360"/>
      <c r="K508" s="360"/>
      <c r="L508" s="360"/>
      <c r="M508" s="340"/>
      <c r="N508" s="340"/>
      <c r="O508" s="341"/>
    </row>
    <row r="509" spans="1:15" ht="16.2" outlineLevel="1" collapsed="1">
      <c r="A509" s="401" t="s">
        <v>818</v>
      </c>
      <c r="B509" s="343" t="s">
        <v>818</v>
      </c>
      <c r="C509" s="388" t="str">
        <f>IF(OR(I509&lt;&gt;0,H509&lt;&gt;0),"x"," ")</f>
        <v xml:space="preserve"> </v>
      </c>
      <c r="D509" s="345"/>
      <c r="E509" s="346" t="s">
        <v>819</v>
      </c>
      <c r="F509" s="347" t="s">
        <v>285</v>
      </c>
      <c r="G509" s="348"/>
      <c r="H509" s="349">
        <f>IFERROR(HLOOKUP(B509,'BKT-ThuHoi'!$5:$183,179,0),0)</f>
        <v>0</v>
      </c>
      <c r="I509" s="350">
        <f>H509+J509-K509</f>
        <v>0</v>
      </c>
      <c r="J509" s="350"/>
      <c r="K509" s="350"/>
      <c r="L509" s="350"/>
      <c r="M509" s="332"/>
      <c r="N509" s="340"/>
      <c r="O509" s="341"/>
    </row>
    <row r="510" spans="1:15" ht="16.2" outlineLevel="1">
      <c r="A510" s="288"/>
      <c r="B510" s="351" t="s">
        <v>820</v>
      </c>
      <c r="C510" s="388" t="str">
        <f>IF(OR(I510&lt;&gt;0,H510&lt;&gt;0),"x"," ")</f>
        <v xml:space="preserve"> </v>
      </c>
      <c r="D510" s="338"/>
      <c r="E510" s="358" t="str">
        <f>VLOOKUP($B510,DG!A:D,DG!$C$2,)</f>
        <v>Boulon mắt 16x250</v>
      </c>
      <c r="F510" s="338" t="str">
        <f>VLOOKUP($B510,DG!A:D,DG!$D$2,)</f>
        <v>bộ</v>
      </c>
      <c r="G510" s="359">
        <v>1</v>
      </c>
      <c r="H510" s="360">
        <f t="shared" ref="H510:H516" si="26">H$509*$G510</f>
        <v>0</v>
      </c>
      <c r="I510" s="360">
        <f>$I$509*G510</f>
        <v>0</v>
      </c>
      <c r="J510" s="360"/>
      <c r="K510" s="360"/>
      <c r="L510" s="360"/>
      <c r="M510" s="332"/>
      <c r="N510" s="340"/>
      <c r="O510" s="341"/>
    </row>
    <row r="511" spans="1:15" ht="16.2" outlineLevel="1">
      <c r="A511" s="288"/>
      <c r="B511" s="351" t="s">
        <v>821</v>
      </c>
      <c r="C511" s="388" t="str">
        <f>IF(OR(I511&lt;&gt;0,H511&lt;&gt;0),"x"," ")</f>
        <v xml:space="preserve"> </v>
      </c>
      <c r="D511" s="338"/>
      <c r="E511" s="358" t="str">
        <f>VLOOKUP($B511,DG!A:D,DG!$C$2,)</f>
        <v>Sứ chằng</v>
      </c>
      <c r="F511" s="338" t="str">
        <f>VLOOKUP($B511,DG!A:D,DG!$D$2,)</f>
        <v>cái</v>
      </c>
      <c r="G511" s="359">
        <v>1</v>
      </c>
      <c r="H511" s="360">
        <f t="shared" si="26"/>
        <v>0</v>
      </c>
      <c r="I511" s="360">
        <f>$I$509*G511</f>
        <v>0</v>
      </c>
      <c r="J511" s="360"/>
      <c r="K511" s="360"/>
      <c r="L511" s="360"/>
      <c r="M511" s="332"/>
      <c r="N511" s="340"/>
      <c r="O511" s="341"/>
    </row>
    <row r="512" spans="1:15" ht="16.2" outlineLevel="1">
      <c r="A512" s="288"/>
      <c r="B512" s="351" t="s">
        <v>822</v>
      </c>
      <c r="C512" s="388" t="str">
        <f>IF(OR(I512&lt;&gt;0,H512&lt;&gt;0),"x"," ")</f>
        <v xml:space="preserve"> </v>
      </c>
      <c r="D512" s="338"/>
      <c r="E512" s="358" t="str">
        <f>VLOOKUP($B512,DG!A:D,DG!$C$2,)</f>
        <v>Kẹp cáp 3 boulon</v>
      </c>
      <c r="F512" s="338" t="str">
        <f>VLOOKUP($B512,DG!A:D,DG!$D$2,)</f>
        <v>cái</v>
      </c>
      <c r="G512" s="359">
        <v>4</v>
      </c>
      <c r="H512" s="360">
        <f t="shared" si="26"/>
        <v>0</v>
      </c>
      <c r="I512" s="360">
        <f>$I$509*G512</f>
        <v>0</v>
      </c>
      <c r="J512" s="360"/>
      <c r="K512" s="360"/>
      <c r="L512" s="360"/>
      <c r="M512" s="332"/>
      <c r="N512" s="340"/>
      <c r="O512" s="341"/>
    </row>
    <row r="513" spans="1:15" ht="16.2" outlineLevel="1">
      <c r="A513" s="288"/>
      <c r="B513" s="351" t="s">
        <v>823</v>
      </c>
      <c r="C513" s="388" t="str">
        <f>IF(OR(I513&lt;&gt;0,H513&lt;&gt;0),"x"," ")</f>
        <v xml:space="preserve"> </v>
      </c>
      <c r="D513" s="338"/>
      <c r="E513" s="358" t="str">
        <f>VLOOKUP($B513,DG!A:D,DG!$C$2,)</f>
        <v>Cáp thép 3/8"</v>
      </c>
      <c r="F513" s="338" t="str">
        <f>VLOOKUP($B513,DG!A:D,DG!$D$2,)</f>
        <v>kg</v>
      </c>
      <c r="G513" s="385">
        <v>5</v>
      </c>
      <c r="H513" s="360">
        <f t="shared" si="26"/>
        <v>0</v>
      </c>
      <c r="I513" s="360">
        <f>$I$509*G513</f>
        <v>0</v>
      </c>
      <c r="J513" s="360"/>
      <c r="K513" s="360"/>
      <c r="L513" s="360"/>
      <c r="M513" s="332"/>
      <c r="N513" s="340"/>
      <c r="O513" s="341"/>
    </row>
    <row r="514" spans="1:15" ht="16.2" outlineLevel="1">
      <c r="A514" s="288"/>
      <c r="B514" s="351" t="s">
        <v>824</v>
      </c>
      <c r="C514" s="388" t="str">
        <f>IF(OR(I514&lt;&gt;0,H514&lt;&gt;0),"x"," ")</f>
        <v xml:space="preserve"> </v>
      </c>
      <c r="D514" s="338"/>
      <c r="E514" s="358" t="str">
        <f>VLOOKUP($B514,DG!A:D,DG!$C$2,)</f>
        <v>Yếm cáp dày 2mm</v>
      </c>
      <c r="F514" s="338" t="str">
        <f>VLOOKUP($B514,DG!A:D,DG!$D$2,)</f>
        <v>cái</v>
      </c>
      <c r="G514" s="359">
        <v>2</v>
      </c>
      <c r="H514" s="360">
        <f t="shared" si="26"/>
        <v>0</v>
      </c>
      <c r="I514" s="360">
        <f>$I$509*G514</f>
        <v>0</v>
      </c>
      <c r="J514" s="360"/>
      <c r="K514" s="360"/>
      <c r="L514" s="360"/>
      <c r="M514" s="332"/>
      <c r="N514" s="340"/>
      <c r="O514" s="341"/>
    </row>
    <row r="515" spans="1:15" ht="16.2" outlineLevel="1">
      <c r="A515" s="288"/>
      <c r="B515" s="351" t="s">
        <v>825</v>
      </c>
      <c r="C515" s="388" t="str">
        <f>IF(OR(I515&lt;&gt;0,H515&lt;&gt;0),"x"," ")</f>
        <v xml:space="preserve"> </v>
      </c>
      <c r="D515" s="338"/>
      <c r="E515" s="358" t="str">
        <f>VLOOKUP($B515,DG!A:D,DG!$C$2,)</f>
        <v>Máng che dây chằng dày 1,6mm</v>
      </c>
      <c r="F515" s="338" t="str">
        <f>VLOOKUP($B515,DG!A:D,DG!$D$2,)</f>
        <v>cái</v>
      </c>
      <c r="G515" s="359">
        <v>1</v>
      </c>
      <c r="H515" s="360">
        <f t="shared" si="26"/>
        <v>0</v>
      </c>
      <c r="I515" s="360">
        <f>$I$509*G515</f>
        <v>0</v>
      </c>
      <c r="J515" s="360"/>
      <c r="K515" s="360"/>
      <c r="L515" s="360"/>
      <c r="M515" s="332"/>
      <c r="N515" s="340"/>
      <c r="O515" s="341"/>
    </row>
    <row r="516" spans="1:15" ht="16.2" outlineLevel="1">
      <c r="A516" s="288"/>
      <c r="B516" s="351" t="s">
        <v>826</v>
      </c>
      <c r="C516" s="388" t="str">
        <f>IF(OR(I516&lt;&gt;0,H516&lt;&gt;0),"x"," ")</f>
        <v xml:space="preserve"> </v>
      </c>
      <c r="D516" s="338" t="str">
        <f>VLOOKUP($B516,DG!A:D,DG!$B$2,)</f>
        <v>06.3241</v>
      </c>
      <c r="E516" s="366" t="str">
        <f>VLOOKUP($B516,DG!A:D,DG!$C$2,)</f>
        <v>Lắp bộ dây néo</v>
      </c>
      <c r="F516" s="338" t="str">
        <f>VLOOKUP($B516,DG!A:D,DG!$D$2,)</f>
        <v>bộ</v>
      </c>
      <c r="G516" s="359">
        <f>G510</f>
        <v>1</v>
      </c>
      <c r="H516" s="360">
        <f t="shared" si="26"/>
        <v>0</v>
      </c>
      <c r="I516" s="360">
        <f>$I$509*G516</f>
        <v>0</v>
      </c>
      <c r="J516" s="354"/>
      <c r="K516" s="354"/>
      <c r="L516" s="354"/>
      <c r="M516" s="332"/>
      <c r="N516" s="340"/>
      <c r="O516" s="341"/>
    </row>
    <row r="517" spans="1:15" ht="16.2" outlineLevel="1">
      <c r="A517" s="288"/>
      <c r="B517" s="356" t="s">
        <v>827</v>
      </c>
      <c r="C517" s="388" t="str">
        <f>IF(OR(I517&lt;&gt;0,H517&lt;&gt;0),"x"," ")</f>
        <v xml:space="preserve"> </v>
      </c>
      <c r="D517" s="338" t="str">
        <f>VLOOKUP($B517,DG!A:C,2,)</f>
        <v>02.1421</v>
      </c>
      <c r="E517" s="366" t="str">
        <f>VLOOKUP($B517,DG!A:C,3,)</f>
        <v>V/c phụ kiện vào vị trí (cự ly &lt;=100m)</v>
      </c>
      <c r="F517" s="338" t="str">
        <f>VLOOKUP($B517,DG!A:D,4,0)</f>
        <v>tấn</v>
      </c>
      <c r="G517" s="357"/>
      <c r="H517" s="354"/>
      <c r="I517" s="354"/>
      <c r="J517" s="354"/>
      <c r="K517" s="354"/>
      <c r="L517" s="354"/>
      <c r="M517" s="332"/>
      <c r="N517" s="340"/>
      <c r="O517" s="341"/>
    </row>
    <row r="518" spans="1:15" ht="16.2" outlineLevel="1">
      <c r="A518" s="401" t="s">
        <v>828</v>
      </c>
      <c r="B518" s="343" t="s">
        <v>828</v>
      </c>
      <c r="C518" s="388" t="str">
        <f>IF(OR(I518&lt;&gt;0,H518&lt;&gt;0),"x"," ")</f>
        <v xml:space="preserve"> </v>
      </c>
      <c r="D518" s="345"/>
      <c r="E518" s="346" t="s">
        <v>829</v>
      </c>
      <c r="F518" s="347" t="s">
        <v>285</v>
      </c>
      <c r="G518" s="348"/>
      <c r="H518" s="349">
        <f>IFERROR(HLOOKUP(B518,'BKT-ThuHoi'!$5:$183,179,0),0)</f>
        <v>0</v>
      </c>
      <c r="I518" s="350">
        <f>H518+J518-K518</f>
        <v>0</v>
      </c>
      <c r="J518" s="350"/>
      <c r="K518" s="350"/>
      <c r="L518" s="350"/>
      <c r="M518" s="332"/>
      <c r="N518" s="340"/>
      <c r="O518" s="341"/>
    </row>
    <row r="519" spans="1:15" ht="16.2" outlineLevel="1">
      <c r="A519" s="288"/>
      <c r="B519" s="351" t="s">
        <v>826</v>
      </c>
      <c r="C519" s="388" t="str">
        <f>IF(OR(I519&lt;&gt;0,H519&lt;&gt;0),"x"," ")</f>
        <v xml:space="preserve"> </v>
      </c>
      <c r="D519" s="338"/>
      <c r="E519" s="366" t="s">
        <v>830</v>
      </c>
      <c r="F519" s="338" t="str">
        <f>VLOOKUP($B519,DG!A:D,DG!$D$2,)</f>
        <v>bộ</v>
      </c>
      <c r="G519" s="359">
        <v>1</v>
      </c>
      <c r="H519" s="360">
        <f>H$518*$G519</f>
        <v>0</v>
      </c>
      <c r="I519" s="360"/>
      <c r="J519" s="360"/>
      <c r="K519" s="360"/>
      <c r="L519" s="360"/>
      <c r="M519" s="332"/>
      <c r="N519" s="340"/>
      <c r="O519" s="341"/>
    </row>
    <row r="520" spans="1:15" ht="16.2" outlineLevel="1">
      <c r="A520" s="288"/>
      <c r="B520" s="351" t="s">
        <v>831</v>
      </c>
      <c r="C520" s="388" t="str">
        <f>IF(OR(I520&lt;&gt;0,H520&lt;&gt;0),"x"," ")</f>
        <v xml:space="preserve"> </v>
      </c>
      <c r="D520" s="338"/>
      <c r="E520" s="366" t="s">
        <v>832</v>
      </c>
      <c r="F520" s="338" t="str">
        <f>VLOOKUP($B520,DG!A:D,DG!$D$2,)</f>
        <v>bộ</v>
      </c>
      <c r="G520" s="359">
        <v>1</v>
      </c>
      <c r="H520" s="360">
        <f>H$518*$G520</f>
        <v>0</v>
      </c>
      <c r="I520" s="360"/>
      <c r="J520" s="360"/>
      <c r="K520" s="360"/>
      <c r="L520" s="360"/>
      <c r="M520" s="332"/>
      <c r="N520" s="340"/>
      <c r="O520" s="341"/>
    </row>
    <row r="521" spans="1:15" ht="16.2" outlineLevel="1">
      <c r="A521" s="288"/>
      <c r="B521" s="356" t="s">
        <v>827</v>
      </c>
      <c r="C521" s="388" t="str">
        <f>IF(OR(I521&lt;&gt;0,H521&lt;&gt;0),"x"," ")</f>
        <v xml:space="preserve"> </v>
      </c>
      <c r="D521" s="338" t="str">
        <f>VLOOKUP($B521,DG!A:C,2,)</f>
        <v>02.1421</v>
      </c>
      <c r="E521" s="366" t="str">
        <f>VLOOKUP($B521,DG!A:C,3,)</f>
        <v>V/c phụ kiện vào vị trí (cự ly &lt;=100m)</v>
      </c>
      <c r="F521" s="338" t="str">
        <f>VLOOKUP($B521,DG!A:D,4,0)</f>
        <v>tấn</v>
      </c>
      <c r="G521" s="357">
        <v>0.01</v>
      </c>
      <c r="H521" s="360">
        <f>H$518*$G521</f>
        <v>0</v>
      </c>
      <c r="I521" s="360"/>
      <c r="J521" s="360"/>
      <c r="K521" s="360"/>
      <c r="L521" s="360"/>
      <c r="M521" s="332"/>
      <c r="N521" s="340"/>
      <c r="O521" s="341"/>
    </row>
    <row r="522" spans="1:15" ht="16.2" outlineLevel="1">
      <c r="A522" s="401" t="s">
        <v>833</v>
      </c>
      <c r="B522" s="343" t="s">
        <v>833</v>
      </c>
      <c r="C522" s="388" t="str">
        <f>IF(OR(I522&lt;&gt;0,H522&lt;&gt;0),"x"," ")</f>
        <v xml:space="preserve"> </v>
      </c>
      <c r="D522" s="345"/>
      <c r="E522" s="346" t="s">
        <v>834</v>
      </c>
      <c r="F522" s="347" t="s">
        <v>285</v>
      </c>
      <c r="G522" s="348"/>
      <c r="H522" s="349">
        <f>IFERROR(HLOOKUP(B522,'BKT-ThuHoi'!$5:$183,179,0),0)</f>
        <v>0</v>
      </c>
      <c r="I522" s="350">
        <f>H522+J522-K522</f>
        <v>0</v>
      </c>
      <c r="J522" s="350"/>
      <c r="K522" s="350"/>
      <c r="L522" s="350"/>
      <c r="M522" s="332"/>
      <c r="N522" s="340"/>
      <c r="O522" s="341"/>
    </row>
    <row r="523" spans="1:15" ht="16.2" outlineLevel="1">
      <c r="A523" s="288"/>
      <c r="B523" s="351" t="s">
        <v>820</v>
      </c>
      <c r="C523" s="388" t="str">
        <f>IF(OR(I523&lt;&gt;0,H523&lt;&gt;0),"x"," ")</f>
        <v xml:space="preserve"> </v>
      </c>
      <c r="D523" s="338"/>
      <c r="E523" s="358" t="str">
        <f>VLOOKUP($B523,DG!A:D,DG!$C$2,)</f>
        <v>Boulon mắt 16x250</v>
      </c>
      <c r="F523" s="338" t="str">
        <f>VLOOKUP($B523,DG!A:D,DG!$D$2,)</f>
        <v>bộ</v>
      </c>
      <c r="G523" s="359">
        <v>1</v>
      </c>
      <c r="H523" s="360">
        <f t="shared" ref="H523:H529" si="27">H$522*$G523</f>
        <v>0</v>
      </c>
      <c r="I523" s="360">
        <f>$I$522*G523</f>
        <v>0</v>
      </c>
      <c r="J523" s="360"/>
      <c r="K523" s="360"/>
      <c r="L523" s="360"/>
      <c r="M523" s="332"/>
      <c r="N523" s="340"/>
      <c r="O523" s="341"/>
    </row>
    <row r="524" spans="1:15" ht="16.2" outlineLevel="1">
      <c r="A524" s="288"/>
      <c r="B524" s="351" t="s">
        <v>821</v>
      </c>
      <c r="C524" s="388" t="str">
        <f>IF(OR(I524&lt;&gt;0,H524&lt;&gt;0),"x"," ")</f>
        <v xml:space="preserve"> </v>
      </c>
      <c r="D524" s="338"/>
      <c r="E524" s="358" t="str">
        <f>VLOOKUP($B524,DG!A:D,DG!$C$2,)</f>
        <v>Sứ chằng</v>
      </c>
      <c r="F524" s="338" t="str">
        <f>VLOOKUP($B524,DG!A:D,DG!$D$2,)</f>
        <v>cái</v>
      </c>
      <c r="G524" s="359">
        <v>1</v>
      </c>
      <c r="H524" s="360">
        <f t="shared" si="27"/>
        <v>0</v>
      </c>
      <c r="I524" s="360">
        <f>$I$522*G524</f>
        <v>0</v>
      </c>
      <c r="J524" s="360"/>
      <c r="K524" s="360"/>
      <c r="L524" s="360"/>
      <c r="M524" s="332"/>
      <c r="N524" s="340"/>
      <c r="O524" s="341"/>
    </row>
    <row r="525" spans="1:15" ht="16.2" outlineLevel="1">
      <c r="A525" s="288"/>
      <c r="B525" s="351" t="s">
        <v>822</v>
      </c>
      <c r="C525" s="388" t="str">
        <f>IF(OR(I525&lt;&gt;0,H525&lt;&gt;0),"x"," ")</f>
        <v xml:space="preserve"> </v>
      </c>
      <c r="D525" s="338"/>
      <c r="E525" s="358" t="str">
        <f>VLOOKUP($B525,DG!A:D,DG!$C$2,)</f>
        <v>Kẹp cáp 3 boulon</v>
      </c>
      <c r="F525" s="338" t="str">
        <f>VLOOKUP($B525,DG!A:D,DG!$D$2,)</f>
        <v>cái</v>
      </c>
      <c r="G525" s="359">
        <v>4</v>
      </c>
      <c r="H525" s="360">
        <f t="shared" si="27"/>
        <v>0</v>
      </c>
      <c r="I525" s="360">
        <f>$I$522*G525</f>
        <v>0</v>
      </c>
      <c r="J525" s="360"/>
      <c r="K525" s="360"/>
      <c r="L525" s="360"/>
      <c r="M525" s="332"/>
      <c r="N525" s="340"/>
      <c r="O525" s="341"/>
    </row>
    <row r="526" spans="1:15" ht="16.2" outlineLevel="1">
      <c r="A526" s="288"/>
      <c r="B526" s="351" t="s">
        <v>823</v>
      </c>
      <c r="C526" s="388" t="str">
        <f>IF(OR(I526&lt;&gt;0,H526&lt;&gt;0),"x"," ")</f>
        <v xml:space="preserve"> </v>
      </c>
      <c r="D526" s="338"/>
      <c r="E526" s="358" t="str">
        <f>VLOOKUP($B526,DG!A:D,DG!$C$2,)</f>
        <v>Cáp thép 3/8"</v>
      </c>
      <c r="F526" s="338" t="str">
        <f>VLOOKUP($B526,DG!A:D,DG!$D$2,)</f>
        <v>kg</v>
      </c>
      <c r="G526" s="359">
        <v>4</v>
      </c>
      <c r="H526" s="360">
        <f t="shared" si="27"/>
        <v>0</v>
      </c>
      <c r="I526" s="360">
        <f>$I$522*G526</f>
        <v>0</v>
      </c>
      <c r="J526" s="360"/>
      <c r="K526" s="360"/>
      <c r="L526" s="360"/>
      <c r="M526" s="332"/>
      <c r="N526" s="340"/>
      <c r="O526" s="341"/>
    </row>
    <row r="527" spans="1:15" ht="16.2" outlineLevel="1">
      <c r="A527" s="288"/>
      <c r="B527" s="351" t="s">
        <v>835</v>
      </c>
      <c r="C527" s="388" t="str">
        <f>IF(OR(I527&lt;&gt;0,H527&lt;&gt;0),"x"," ")</f>
        <v xml:space="preserve"> </v>
      </c>
      <c r="D527" s="338"/>
      <c r="E527" s="358" t="str">
        <f>VLOOKUP($B527,DG!A:D,DG!$C$2,)</f>
        <v>Bộ chống chằng hẹp Ø60/50x1200+2BL12x40+BL16x200/50</v>
      </c>
      <c r="F527" s="338" t="str">
        <f>VLOOKUP($B527,DG!A:D,DG!$D$2,)</f>
        <v>bộ</v>
      </c>
      <c r="G527" s="359">
        <v>1</v>
      </c>
      <c r="H527" s="360">
        <f t="shared" si="27"/>
        <v>0</v>
      </c>
      <c r="I527" s="360">
        <f>$I$522*G527</f>
        <v>0</v>
      </c>
      <c r="J527" s="360"/>
      <c r="K527" s="360"/>
      <c r="L527" s="360"/>
      <c r="M527" s="332"/>
      <c r="N527" s="340"/>
      <c r="O527" s="341"/>
    </row>
    <row r="528" spans="1:15" ht="16.2" outlineLevel="1">
      <c r="A528" s="288"/>
      <c r="B528" s="351" t="s">
        <v>824</v>
      </c>
      <c r="C528" s="388" t="str">
        <f>IF(OR(I528&lt;&gt;0,H528&lt;&gt;0),"x"," ")</f>
        <v xml:space="preserve"> </v>
      </c>
      <c r="D528" s="338"/>
      <c r="E528" s="358" t="str">
        <f>VLOOKUP($B528,DG!A:D,DG!$C$2,)</f>
        <v>Yếm cáp dày 2mm</v>
      </c>
      <c r="F528" s="338" t="str">
        <f>VLOOKUP($B528,DG!A:D,DG!$D$2,)</f>
        <v>cái</v>
      </c>
      <c r="G528" s="359">
        <v>2</v>
      </c>
      <c r="H528" s="360">
        <f t="shared" si="27"/>
        <v>0</v>
      </c>
      <c r="I528" s="360">
        <f>$I$522*G528</f>
        <v>0</v>
      </c>
      <c r="J528" s="360"/>
      <c r="K528" s="360"/>
      <c r="L528" s="360"/>
      <c r="M528" s="332"/>
      <c r="N528" s="340"/>
      <c r="O528" s="341"/>
    </row>
    <row r="529" spans="1:15" ht="16.2" outlineLevel="1">
      <c r="A529" s="288"/>
      <c r="B529" s="351" t="s">
        <v>825</v>
      </c>
      <c r="C529" s="388" t="str">
        <f>IF(OR(I529&lt;&gt;0,H529&lt;&gt;0),"x"," ")</f>
        <v xml:space="preserve"> </v>
      </c>
      <c r="D529" s="338"/>
      <c r="E529" s="358" t="str">
        <f>VLOOKUP($B529,DG!A:D,DG!$C$2,)</f>
        <v>Máng che dây chằng dày 1,6mm</v>
      </c>
      <c r="F529" s="338" t="str">
        <f>VLOOKUP($B529,DG!A:D,DG!$D$2,)</f>
        <v>cái</v>
      </c>
      <c r="G529" s="359">
        <v>1</v>
      </c>
      <c r="H529" s="360">
        <f t="shared" si="27"/>
        <v>0</v>
      </c>
      <c r="I529" s="360">
        <f>$I$522*G529</f>
        <v>0</v>
      </c>
      <c r="J529" s="360"/>
      <c r="K529" s="360"/>
      <c r="L529" s="360"/>
      <c r="M529" s="332"/>
      <c r="N529" s="340"/>
      <c r="O529" s="341"/>
    </row>
    <row r="530" spans="1:15" ht="16.2" outlineLevel="1">
      <c r="A530" s="288"/>
      <c r="B530" s="351" t="s">
        <v>826</v>
      </c>
      <c r="C530" s="388" t="str">
        <f>IF(OR(I530&lt;&gt;0,H530&lt;&gt;0),"x"," ")</f>
        <v xml:space="preserve"> </v>
      </c>
      <c r="D530" s="338" t="str">
        <f>VLOOKUP($B530,DG!A:D,DG!$B$2,)</f>
        <v>06.3241</v>
      </c>
      <c r="E530" s="366" t="str">
        <f>VLOOKUP($B530,DG!A:D,DG!$C$2,)</f>
        <v>Lắp bộ dây néo</v>
      </c>
      <c r="F530" s="338" t="str">
        <f>VLOOKUP($B530,DG!A:D,DG!$D$2,)</f>
        <v>bộ</v>
      </c>
      <c r="G530" s="359">
        <f>G523</f>
        <v>1</v>
      </c>
      <c r="H530" s="354"/>
      <c r="I530" s="354"/>
      <c r="J530" s="354"/>
      <c r="K530" s="354"/>
      <c r="L530" s="354"/>
      <c r="M530" s="332"/>
      <c r="N530" s="340"/>
      <c r="O530" s="341"/>
    </row>
    <row r="531" spans="1:15" ht="16.2" outlineLevel="1">
      <c r="A531" s="288"/>
      <c r="B531" s="351" t="s">
        <v>831</v>
      </c>
      <c r="C531" s="388" t="str">
        <f>IF(OR(I531&lt;&gt;0,H531&lt;&gt;0),"x"," ")</f>
        <v xml:space="preserve"> </v>
      </c>
      <c r="D531" s="338" t="str">
        <f>VLOOKUP($B531,DG!A:D,DG!$B$2,)</f>
        <v>05.6011</v>
      </c>
      <c r="E531" s="366" t="str">
        <f>VLOOKUP($B531,DG!A:D,DG!$C$2,)</f>
        <v>Lắp bộ chống lệch</v>
      </c>
      <c r="F531" s="338" t="str">
        <f>VLOOKUP($B531,DG!A:D,DG!$D$2,)</f>
        <v>bộ</v>
      </c>
      <c r="G531" s="359"/>
      <c r="H531" s="354"/>
      <c r="I531" s="354"/>
      <c r="J531" s="354"/>
      <c r="K531" s="354"/>
      <c r="L531" s="354"/>
      <c r="M531" s="332"/>
      <c r="N531" s="340"/>
      <c r="O531" s="341"/>
    </row>
    <row r="532" spans="1:15" ht="16.2" outlineLevel="1">
      <c r="A532" s="288"/>
      <c r="B532" s="356" t="s">
        <v>827</v>
      </c>
      <c r="C532" s="388" t="str">
        <f>IF(OR(I532&lt;&gt;0,H532&lt;&gt;0),"x"," ")</f>
        <v xml:space="preserve"> </v>
      </c>
      <c r="D532" s="338" t="str">
        <f>VLOOKUP($B532,DG!A:C,2,)</f>
        <v>02.1421</v>
      </c>
      <c r="E532" s="366" t="str">
        <f>VLOOKUP($B532,DG!A:C,3,)</f>
        <v>V/c phụ kiện vào vị trí (cự ly &lt;=100m)</v>
      </c>
      <c r="F532" s="338" t="str">
        <f>VLOOKUP($B532,DG!A:D,4,0)</f>
        <v>tấn</v>
      </c>
      <c r="G532" s="357"/>
      <c r="H532" s="354"/>
      <c r="I532" s="354"/>
      <c r="J532" s="354"/>
      <c r="K532" s="354"/>
      <c r="L532" s="354"/>
      <c r="M532" s="332"/>
      <c r="N532" s="340"/>
      <c r="O532" s="341"/>
    </row>
    <row r="533" spans="1:15" ht="16.2" outlineLevel="1">
      <c r="A533" s="342" t="s">
        <v>836</v>
      </c>
      <c r="B533" s="343" t="s">
        <v>836</v>
      </c>
      <c r="C533" s="388" t="str">
        <f>IF(OR(I533&lt;&gt;0,H533&lt;&gt;0),"x"," ")</f>
        <v xml:space="preserve"> </v>
      </c>
      <c r="D533" s="345"/>
      <c r="E533" s="346" t="s">
        <v>837</v>
      </c>
      <c r="F533" s="347" t="s">
        <v>285</v>
      </c>
      <c r="G533" s="348"/>
      <c r="H533" s="349">
        <f>IFERROR(HLOOKUP(B533,'BKT-ThuHoi'!$5:$183,179,0),0)</f>
        <v>0</v>
      </c>
      <c r="I533" s="350">
        <f>H533+J533-K533</f>
        <v>0</v>
      </c>
      <c r="J533" s="350"/>
      <c r="K533" s="350"/>
      <c r="L533" s="350"/>
      <c r="M533" s="332"/>
      <c r="N533" s="340"/>
      <c r="O533" s="341"/>
    </row>
    <row r="534" spans="1:15" ht="16.2" outlineLevel="1">
      <c r="A534" s="288"/>
      <c r="B534" s="351" t="s">
        <v>820</v>
      </c>
      <c r="C534" s="388" t="str">
        <f>IF(OR(I534&lt;&gt;0,H534&lt;&gt;0),"x"," ")</f>
        <v xml:space="preserve"> </v>
      </c>
      <c r="D534" s="338"/>
      <c r="E534" s="358" t="str">
        <f>VLOOKUP($B534,DG!A:D,DG!$C$2,)</f>
        <v>Boulon mắt 16x250</v>
      </c>
      <c r="F534" s="338" t="str">
        <f>VLOOKUP($B534,DG!A:D,DG!$D$2,)</f>
        <v>bộ</v>
      </c>
      <c r="G534" s="359">
        <v>1</v>
      </c>
      <c r="H534" s="360">
        <f t="shared" ref="H534:H539" si="28">H$533*$G534</f>
        <v>0</v>
      </c>
      <c r="I534" s="360"/>
      <c r="J534" s="360"/>
      <c r="K534" s="360"/>
      <c r="L534" s="360"/>
      <c r="M534" s="332"/>
      <c r="N534" s="340"/>
      <c r="O534" s="341"/>
    </row>
    <row r="535" spans="1:15" ht="16.2" outlineLevel="1">
      <c r="A535" s="288"/>
      <c r="B535" s="351" t="s">
        <v>821</v>
      </c>
      <c r="C535" s="388" t="str">
        <f>IF(OR(I535&lt;&gt;0,H535&lt;&gt;0),"x"," ")</f>
        <v xml:space="preserve"> </v>
      </c>
      <c r="D535" s="338"/>
      <c r="E535" s="358" t="str">
        <f>VLOOKUP($B535,DG!A:D,DG!$C$2,)</f>
        <v>Sứ chằng</v>
      </c>
      <c r="F535" s="338" t="str">
        <f>VLOOKUP($B535,DG!A:D,DG!$D$2,)</f>
        <v>cái</v>
      </c>
      <c r="G535" s="359">
        <v>1</v>
      </c>
      <c r="H535" s="360">
        <f t="shared" si="28"/>
        <v>0</v>
      </c>
      <c r="I535" s="360"/>
      <c r="J535" s="360"/>
      <c r="K535" s="360"/>
      <c r="L535" s="360"/>
      <c r="M535" s="332"/>
      <c r="N535" s="340"/>
      <c r="O535" s="341"/>
    </row>
    <row r="536" spans="1:15" ht="16.2" outlineLevel="1">
      <c r="A536" s="288"/>
      <c r="B536" s="351" t="s">
        <v>822</v>
      </c>
      <c r="C536" s="388" t="str">
        <f>IF(OR(I536&lt;&gt;0,H536&lt;&gt;0),"x"," ")</f>
        <v xml:space="preserve"> </v>
      </c>
      <c r="D536" s="338"/>
      <c r="E536" s="358" t="str">
        <f>VLOOKUP($B536,DG!A:D,DG!$C$2,)</f>
        <v>Kẹp cáp 3 boulon</v>
      </c>
      <c r="F536" s="338" t="str">
        <f>VLOOKUP($B536,DG!A:D,DG!$D$2,)</f>
        <v>cái</v>
      </c>
      <c r="G536" s="359">
        <v>8</v>
      </c>
      <c r="H536" s="360">
        <f t="shared" si="28"/>
        <v>0</v>
      </c>
      <c r="I536" s="360"/>
      <c r="J536" s="360"/>
      <c r="K536" s="360"/>
      <c r="L536" s="360"/>
      <c r="M536" s="332"/>
      <c r="N536" s="340"/>
      <c r="O536" s="341"/>
    </row>
    <row r="537" spans="1:15" ht="16.2" outlineLevel="1">
      <c r="A537" s="288"/>
      <c r="B537" s="351" t="s">
        <v>823</v>
      </c>
      <c r="C537" s="388" t="str">
        <f>IF(OR(I537&lt;&gt;0,H537&lt;&gt;0),"x"," ")</f>
        <v xml:space="preserve"> </v>
      </c>
      <c r="D537" s="338"/>
      <c r="E537" s="358" t="str">
        <f>VLOOKUP($B537,DG!A:D,DG!$C$2,)</f>
        <v>Cáp thép 3/8"</v>
      </c>
      <c r="F537" s="338" t="str">
        <f>VLOOKUP($B537,DG!A:D,DG!$D$2,)</f>
        <v>kg</v>
      </c>
      <c r="G537" s="359">
        <v>16</v>
      </c>
      <c r="H537" s="360">
        <f t="shared" si="28"/>
        <v>0</v>
      </c>
      <c r="I537" s="360"/>
      <c r="J537" s="360"/>
      <c r="K537" s="360"/>
      <c r="L537" s="360"/>
      <c r="M537" s="332"/>
      <c r="N537" s="340"/>
      <c r="O537" s="341"/>
    </row>
    <row r="538" spans="1:15" ht="16.2" outlineLevel="1">
      <c r="A538" s="288"/>
      <c r="B538" s="351" t="s">
        <v>824</v>
      </c>
      <c r="C538" s="388" t="str">
        <f>IF(OR(I538&lt;&gt;0,H538&lt;&gt;0),"x"," ")</f>
        <v xml:space="preserve"> </v>
      </c>
      <c r="D538" s="338"/>
      <c r="E538" s="358" t="str">
        <f>VLOOKUP($B538,DG!A:D,DG!$C$2,)</f>
        <v>Yếm cáp dày 2mm</v>
      </c>
      <c r="F538" s="338" t="str">
        <f>VLOOKUP($B538,DG!A:D,DG!$D$2,)</f>
        <v>cái</v>
      </c>
      <c r="G538" s="359">
        <v>2</v>
      </c>
      <c r="H538" s="360">
        <f t="shared" si="28"/>
        <v>0</v>
      </c>
      <c r="I538" s="360"/>
      <c r="J538" s="360"/>
      <c r="K538" s="360"/>
      <c r="L538" s="360"/>
      <c r="M538" s="332"/>
      <c r="N538" s="340"/>
      <c r="O538" s="341"/>
    </row>
    <row r="539" spans="1:15" ht="16.2" outlineLevel="1">
      <c r="A539" s="288"/>
      <c r="B539" s="351" t="s">
        <v>825</v>
      </c>
      <c r="C539" s="388" t="str">
        <f>IF(OR(I539&lt;&gt;0,H539&lt;&gt;0),"x"," ")</f>
        <v xml:space="preserve"> </v>
      </c>
      <c r="D539" s="338"/>
      <c r="E539" s="358" t="str">
        <f>VLOOKUP($B539,DG!A:D,DG!$C$2,)</f>
        <v>Máng che dây chằng dày 1,6mm</v>
      </c>
      <c r="F539" s="338" t="str">
        <f>VLOOKUP($B539,DG!A:D,DG!$D$2,)</f>
        <v>cái</v>
      </c>
      <c r="G539" s="359">
        <v>1</v>
      </c>
      <c r="H539" s="360">
        <f t="shared" si="28"/>
        <v>0</v>
      </c>
      <c r="I539" s="360"/>
      <c r="J539" s="360"/>
      <c r="K539" s="360"/>
      <c r="L539" s="360"/>
      <c r="M539" s="332"/>
      <c r="N539" s="340"/>
      <c r="O539" s="341"/>
    </row>
    <row r="540" spans="1:15" ht="16.2" outlineLevel="1">
      <c r="A540" s="288"/>
      <c r="B540" s="351" t="s">
        <v>826</v>
      </c>
      <c r="C540" s="388" t="str">
        <f>IF(OR(I540&lt;&gt;0,H540&lt;&gt;0),"x"," ")</f>
        <v xml:space="preserve"> </v>
      </c>
      <c r="D540" s="338" t="str">
        <f>VLOOKUP($B540,DG!A:D,DG!$B$2,)</f>
        <v>06.3241</v>
      </c>
      <c r="E540" s="366" t="str">
        <f>VLOOKUP($B540,DG!A:D,DG!$C$2,)</f>
        <v>Lắp bộ dây néo</v>
      </c>
      <c r="F540" s="338" t="str">
        <f>VLOOKUP($B540,DG!A:D,DG!$D$2,)</f>
        <v>bộ</v>
      </c>
      <c r="G540" s="359">
        <f>G534</f>
        <v>1</v>
      </c>
      <c r="H540" s="354"/>
      <c r="I540" s="354"/>
      <c r="J540" s="354"/>
      <c r="K540" s="354"/>
      <c r="L540" s="354"/>
      <c r="M540" s="332"/>
      <c r="N540" s="340"/>
      <c r="O540" s="341"/>
    </row>
    <row r="541" spans="1:15" ht="16.2" outlineLevel="1">
      <c r="A541" s="288"/>
      <c r="B541" s="356" t="s">
        <v>827</v>
      </c>
      <c r="C541" s="388" t="str">
        <f>IF(OR(I541&lt;&gt;0,H541&lt;&gt;0),"x"," ")</f>
        <v xml:space="preserve"> </v>
      </c>
      <c r="D541" s="338" t="str">
        <f>VLOOKUP($B541,DG!A:C,2,)</f>
        <v>02.1421</v>
      </c>
      <c r="E541" s="366" t="str">
        <f>VLOOKUP($B541,DG!A:C,3,)</f>
        <v>V/c phụ kiện vào vị trí (cự ly &lt;=100m)</v>
      </c>
      <c r="F541" s="338" t="str">
        <f>VLOOKUP($B541,DG!A:D,4,0)</f>
        <v>tấn</v>
      </c>
      <c r="G541" s="357">
        <v>0.02</v>
      </c>
      <c r="H541" s="354"/>
      <c r="I541" s="354"/>
      <c r="J541" s="354"/>
      <c r="K541" s="354"/>
      <c r="L541" s="354"/>
      <c r="M541" s="332"/>
      <c r="N541" s="340"/>
      <c r="O541" s="341"/>
    </row>
    <row r="542" spans="1:15" ht="16.2" outlineLevel="1">
      <c r="A542" s="342" t="s">
        <v>838</v>
      </c>
      <c r="B542" s="343" t="s">
        <v>838</v>
      </c>
      <c r="C542" s="388" t="str">
        <f>IF(OR(I542&lt;&gt;0,H542&lt;&gt;0),"x"," ")</f>
        <v xml:space="preserve"> </v>
      </c>
      <c r="D542" s="345"/>
      <c r="E542" s="346" t="s">
        <v>839</v>
      </c>
      <c r="F542" s="347" t="s">
        <v>285</v>
      </c>
      <c r="G542" s="348"/>
      <c r="H542" s="349">
        <f>IFERROR(HLOOKUP(B542,'BKT-ThuHoi'!$5:$183,179,0),0)</f>
        <v>0</v>
      </c>
      <c r="I542" s="350">
        <f>H542+J542-K542</f>
        <v>0</v>
      </c>
      <c r="J542" s="350"/>
      <c r="K542" s="350"/>
      <c r="L542" s="350"/>
      <c r="M542" s="332"/>
      <c r="N542" s="340"/>
      <c r="O542" s="341"/>
    </row>
    <row r="543" spans="1:15" ht="16.2" outlineLevel="1">
      <c r="A543" s="288"/>
      <c r="B543" s="351" t="s">
        <v>840</v>
      </c>
      <c r="C543" s="388" t="str">
        <f>IF(OR(I543&lt;&gt;0,H543&lt;&gt;0),"x"," ")</f>
        <v xml:space="preserve"> </v>
      </c>
      <c r="D543" s="338"/>
      <c r="E543" s="358" t="str">
        <f>VLOOKUP($B543,DG!A:D,DG!$C$2,)</f>
        <v>Boulon mắt 16x300</v>
      </c>
      <c r="F543" s="338" t="str">
        <f>VLOOKUP($B543,DG!A:D,DG!$D$2,)</f>
        <v>bộ</v>
      </c>
      <c r="G543" s="359">
        <v>1</v>
      </c>
      <c r="H543" s="360">
        <f t="shared" ref="H543:H549" si="29">H$542*$G543</f>
        <v>0</v>
      </c>
      <c r="I543" s="360"/>
      <c r="J543" s="360"/>
      <c r="K543" s="360"/>
      <c r="L543" s="360"/>
      <c r="M543" s="332"/>
      <c r="N543" s="340"/>
      <c r="O543" s="341"/>
    </row>
    <row r="544" spans="1:15" ht="16.2" outlineLevel="1">
      <c r="A544" s="288"/>
      <c r="B544" s="351" t="s">
        <v>821</v>
      </c>
      <c r="C544" s="388" t="str">
        <f>IF(OR(I544&lt;&gt;0,H544&lt;&gt;0),"x"," ")</f>
        <v xml:space="preserve"> </v>
      </c>
      <c r="D544" s="338"/>
      <c r="E544" s="358" t="str">
        <f>VLOOKUP($B544,DG!A:D,DG!$C$2,)</f>
        <v>Sứ chằng</v>
      </c>
      <c r="F544" s="338" t="str">
        <f>VLOOKUP($B544,DG!A:D,DG!$D$2,)</f>
        <v>cái</v>
      </c>
      <c r="G544" s="359">
        <v>1</v>
      </c>
      <c r="H544" s="360">
        <f t="shared" si="29"/>
        <v>0</v>
      </c>
      <c r="I544" s="360"/>
      <c r="J544" s="360"/>
      <c r="K544" s="360"/>
      <c r="L544" s="360"/>
      <c r="M544" s="332"/>
      <c r="N544" s="340"/>
      <c r="O544" s="341"/>
    </row>
    <row r="545" spans="1:15" ht="16.2" outlineLevel="1">
      <c r="A545" s="288"/>
      <c r="B545" s="351" t="s">
        <v>822</v>
      </c>
      <c r="C545" s="388" t="str">
        <f>IF(OR(I545&lt;&gt;0,H545&lt;&gt;0),"x"," ")</f>
        <v xml:space="preserve"> </v>
      </c>
      <c r="D545" s="338"/>
      <c r="E545" s="358" t="str">
        <f>VLOOKUP($B545,DG!A:D,DG!$C$2,)</f>
        <v>Kẹp cáp 3 boulon</v>
      </c>
      <c r="F545" s="338" t="str">
        <f>VLOOKUP($B545,DG!A:D,DG!$D$2,)</f>
        <v>cái</v>
      </c>
      <c r="G545" s="359">
        <v>8</v>
      </c>
      <c r="H545" s="360">
        <f t="shared" si="29"/>
        <v>0</v>
      </c>
      <c r="I545" s="360"/>
      <c r="J545" s="360"/>
      <c r="K545" s="360"/>
      <c r="L545" s="360"/>
      <c r="M545" s="332"/>
      <c r="N545" s="340"/>
      <c r="O545" s="341"/>
    </row>
    <row r="546" spans="1:15" ht="16.2" outlineLevel="1">
      <c r="A546" s="288"/>
      <c r="B546" s="351" t="s">
        <v>823</v>
      </c>
      <c r="C546" s="388" t="str">
        <f>IF(OR(I546&lt;&gt;0,H546&lt;&gt;0),"x"," ")</f>
        <v xml:space="preserve"> </v>
      </c>
      <c r="D546" s="338"/>
      <c r="E546" s="358" t="str">
        <f>VLOOKUP($B546,DG!A:D,DG!$C$2,)</f>
        <v>Cáp thép 3/8"</v>
      </c>
      <c r="F546" s="338" t="str">
        <f>VLOOKUP($B546,DG!A:D,DG!$D$2,)</f>
        <v>kg</v>
      </c>
      <c r="G546" s="359">
        <v>11</v>
      </c>
      <c r="H546" s="360">
        <f t="shared" si="29"/>
        <v>0</v>
      </c>
      <c r="I546" s="360"/>
      <c r="J546" s="360"/>
      <c r="K546" s="360"/>
      <c r="L546" s="360"/>
      <c r="M546" s="332"/>
      <c r="N546" s="340"/>
      <c r="O546" s="341"/>
    </row>
    <row r="547" spans="1:15" ht="16.2" outlineLevel="1">
      <c r="A547" s="288"/>
      <c r="B547" s="351" t="s">
        <v>841</v>
      </c>
      <c r="C547" s="388" t="str">
        <f>IF(OR(I547&lt;&gt;0,H547&lt;&gt;0),"x"," ")</f>
        <v xml:space="preserve"> </v>
      </c>
      <c r="D547" s="338"/>
      <c r="E547" s="358" t="str">
        <f>VLOOKUP($B547,DG!A:D,DG!$C$2,)</f>
        <v>Bộ chống chằng hẹp Ø60/50x1500+2BL12x40+BL16x250/80</v>
      </c>
      <c r="F547" s="338" t="str">
        <f>VLOOKUP($B547,DG!A:D,DG!$D$2,)</f>
        <v>bộ</v>
      </c>
      <c r="G547" s="359">
        <v>1</v>
      </c>
      <c r="H547" s="360">
        <f t="shared" si="29"/>
        <v>0</v>
      </c>
      <c r="I547" s="360"/>
      <c r="J547" s="360"/>
      <c r="K547" s="360"/>
      <c r="L547" s="360"/>
      <c r="M547" s="332"/>
      <c r="N547" s="340"/>
      <c r="O547" s="341"/>
    </row>
    <row r="548" spans="1:15" ht="16.2" outlineLevel="1">
      <c r="A548" s="288"/>
      <c r="B548" s="351" t="s">
        <v>824</v>
      </c>
      <c r="C548" s="388" t="str">
        <f>IF(OR(I548&lt;&gt;0,H548&lt;&gt;0),"x"," ")</f>
        <v xml:space="preserve"> </v>
      </c>
      <c r="D548" s="338"/>
      <c r="E548" s="358" t="str">
        <f>VLOOKUP($B548,DG!A:D,DG!$C$2,)</f>
        <v>Yếm cáp dày 2mm</v>
      </c>
      <c r="F548" s="338" t="str">
        <f>VLOOKUP($B548,DG!A:D,DG!$D$2,)</f>
        <v>cái</v>
      </c>
      <c r="G548" s="359">
        <v>2</v>
      </c>
      <c r="H548" s="360">
        <f t="shared" si="29"/>
        <v>0</v>
      </c>
      <c r="I548" s="360"/>
      <c r="J548" s="360"/>
      <c r="K548" s="360"/>
      <c r="L548" s="360"/>
      <c r="M548" s="332"/>
      <c r="N548" s="340"/>
      <c r="O548" s="341"/>
    </row>
    <row r="549" spans="1:15" ht="16.2" outlineLevel="1">
      <c r="A549" s="288"/>
      <c r="B549" s="351" t="s">
        <v>825</v>
      </c>
      <c r="C549" s="388" t="str">
        <f>IF(OR(I549&lt;&gt;0,H549&lt;&gt;0),"x"," ")</f>
        <v xml:space="preserve"> </v>
      </c>
      <c r="D549" s="338"/>
      <c r="E549" s="358" t="str">
        <f>VLOOKUP($B549,DG!A:D,DG!$C$2,)</f>
        <v>Máng che dây chằng dày 1,6mm</v>
      </c>
      <c r="F549" s="338" t="str">
        <f>VLOOKUP($B549,DG!A:D,DG!$D$2,)</f>
        <v>cái</v>
      </c>
      <c r="G549" s="359">
        <v>1</v>
      </c>
      <c r="H549" s="360">
        <f t="shared" si="29"/>
        <v>0</v>
      </c>
      <c r="I549" s="360"/>
      <c r="J549" s="360"/>
      <c r="K549" s="360"/>
      <c r="L549" s="360"/>
      <c r="M549" s="332"/>
      <c r="N549" s="340"/>
      <c r="O549" s="341"/>
    </row>
    <row r="550" spans="1:15" ht="16.2" outlineLevel="1">
      <c r="A550" s="288"/>
      <c r="B550" s="351" t="s">
        <v>826</v>
      </c>
      <c r="C550" s="388" t="str">
        <f>IF(OR(I550&lt;&gt;0,H550&lt;&gt;0),"x"," ")</f>
        <v xml:space="preserve"> </v>
      </c>
      <c r="D550" s="338" t="str">
        <f>VLOOKUP($B550,DG!A:D,DG!$B$2,)</f>
        <v>06.3241</v>
      </c>
      <c r="E550" s="366" t="str">
        <f>VLOOKUP($B550,DG!A:D,DG!$C$2,)</f>
        <v>Lắp bộ dây néo</v>
      </c>
      <c r="F550" s="338" t="str">
        <f>VLOOKUP($B550,DG!A:D,DG!$D$2,)</f>
        <v>bộ</v>
      </c>
      <c r="G550" s="359">
        <f>G543</f>
        <v>1</v>
      </c>
      <c r="H550" s="354"/>
      <c r="I550" s="354"/>
      <c r="J550" s="354"/>
      <c r="K550" s="354"/>
      <c r="L550" s="354"/>
      <c r="M550" s="332"/>
      <c r="N550" s="340"/>
      <c r="O550" s="341"/>
    </row>
    <row r="551" spans="1:15" ht="16.2" outlineLevel="1">
      <c r="A551" s="288"/>
      <c r="B551" s="351" t="s">
        <v>831</v>
      </c>
      <c r="C551" s="388" t="str">
        <f>IF(OR(I551&lt;&gt;0,H551&lt;&gt;0),"x"," ")</f>
        <v xml:space="preserve"> </v>
      </c>
      <c r="D551" s="338" t="str">
        <f>VLOOKUP($B551,DG!A:D,DG!$B$2,)</f>
        <v>05.6011</v>
      </c>
      <c r="E551" s="366" t="str">
        <f>VLOOKUP($B551,DG!A:D,DG!$C$2,)</f>
        <v>Lắp bộ chống lệch</v>
      </c>
      <c r="F551" s="338" t="str">
        <f>VLOOKUP($B551,DG!A:D,DG!$D$2,)</f>
        <v>bộ</v>
      </c>
      <c r="G551" s="359">
        <f>G540</f>
        <v>1</v>
      </c>
      <c r="H551" s="354"/>
      <c r="I551" s="354"/>
      <c r="J551" s="354"/>
      <c r="K551" s="354"/>
      <c r="L551" s="354"/>
      <c r="M551" s="332"/>
      <c r="N551" s="340"/>
      <c r="O551" s="341"/>
    </row>
    <row r="552" spans="1:15" ht="16.2" outlineLevel="1">
      <c r="A552" s="288"/>
      <c r="B552" s="356" t="s">
        <v>827</v>
      </c>
      <c r="C552" s="388" t="str">
        <f>IF(OR(I552&lt;&gt;0,H552&lt;&gt;0),"x"," ")</f>
        <v xml:space="preserve"> </v>
      </c>
      <c r="D552" s="338" t="str">
        <f>VLOOKUP($B552,DG!A:C,2,)</f>
        <v>02.1421</v>
      </c>
      <c r="E552" s="366" t="str">
        <f>VLOOKUP($B552,DG!A:C,3,)</f>
        <v>V/c phụ kiện vào vị trí (cự ly &lt;=100m)</v>
      </c>
      <c r="F552" s="338" t="str">
        <f>VLOOKUP($B552,DG!A:D,4,0)</f>
        <v>tấn</v>
      </c>
      <c r="G552" s="357">
        <v>0.02</v>
      </c>
      <c r="H552" s="354"/>
      <c r="I552" s="354"/>
      <c r="J552" s="354"/>
      <c r="K552" s="354"/>
      <c r="L552" s="354"/>
      <c r="M552" s="332"/>
      <c r="N552" s="340"/>
      <c r="O552" s="341"/>
    </row>
    <row r="553" spans="1:15" ht="16.2" outlineLevel="1">
      <c r="A553" s="342" t="s">
        <v>842</v>
      </c>
      <c r="B553" s="343" t="s">
        <v>842</v>
      </c>
      <c r="C553" s="388" t="str">
        <f>IF(OR(I553&lt;&gt;0,H553&lt;&gt;0),"x"," ")</f>
        <v xml:space="preserve"> </v>
      </c>
      <c r="D553" s="345"/>
      <c r="E553" s="346" t="s">
        <v>843</v>
      </c>
      <c r="F553" s="347" t="s">
        <v>285</v>
      </c>
      <c r="G553" s="348"/>
      <c r="H553" s="349">
        <f>IFERROR(HLOOKUP(B553,'BKT-ThuHoi'!$5:$183,179,0),0)</f>
        <v>0</v>
      </c>
      <c r="I553" s="350">
        <f>H553+J553-K553</f>
        <v>0</v>
      </c>
      <c r="J553" s="350"/>
      <c r="K553" s="350"/>
      <c r="L553" s="350"/>
      <c r="M553" s="332"/>
      <c r="N553" s="340"/>
      <c r="O553" s="341"/>
    </row>
    <row r="554" spans="1:15" ht="16.2" outlineLevel="1">
      <c r="A554" s="288"/>
      <c r="B554" s="351" t="s">
        <v>820</v>
      </c>
      <c r="C554" s="388" t="str">
        <f>IF(OR(I554&lt;&gt;0,H554&lt;&gt;0),"x"," ")</f>
        <v xml:space="preserve"> </v>
      </c>
      <c r="D554" s="338"/>
      <c r="E554" s="358" t="str">
        <f>VLOOKUP($B554,DG!A:D,DG!$C$2,)</f>
        <v>Boulon mắt 16x250</v>
      </c>
      <c r="F554" s="338" t="str">
        <f>VLOOKUP($B554,DG!A:D,DG!$D$2,)</f>
        <v>bộ</v>
      </c>
      <c r="G554" s="359">
        <v>2</v>
      </c>
      <c r="H554" s="360">
        <f t="shared" ref="H554:H559" si="30">H$553*$G554</f>
        <v>0</v>
      </c>
      <c r="I554" s="360"/>
      <c r="J554" s="360"/>
      <c r="K554" s="360"/>
      <c r="L554" s="360"/>
      <c r="M554" s="332"/>
      <c r="N554" s="340"/>
      <c r="O554" s="341"/>
    </row>
    <row r="555" spans="1:15" ht="16.2" outlineLevel="1">
      <c r="A555" s="288"/>
      <c r="B555" s="351" t="s">
        <v>821</v>
      </c>
      <c r="C555" s="388" t="str">
        <f>IF(OR(I555&lt;&gt;0,H555&lt;&gt;0),"x"," ")</f>
        <v xml:space="preserve"> </v>
      </c>
      <c r="D555" s="338"/>
      <c r="E555" s="358" t="str">
        <f>VLOOKUP($B555,DG!A:D,DG!$C$2,)</f>
        <v>Sứ chằng</v>
      </c>
      <c r="F555" s="338" t="str">
        <f>VLOOKUP($B555,DG!A:D,DG!$D$2,)</f>
        <v>cái</v>
      </c>
      <c r="G555" s="359">
        <v>2</v>
      </c>
      <c r="H555" s="360">
        <f t="shared" si="30"/>
        <v>0</v>
      </c>
      <c r="I555" s="360"/>
      <c r="J555" s="360"/>
      <c r="K555" s="360"/>
      <c r="L555" s="360"/>
      <c r="M555" s="332"/>
      <c r="N555" s="340"/>
      <c r="O555" s="341"/>
    </row>
    <row r="556" spans="1:15" ht="16.2" outlineLevel="1">
      <c r="A556" s="288"/>
      <c r="B556" s="351" t="s">
        <v>822</v>
      </c>
      <c r="C556" s="388" t="str">
        <f>IF(OR(I556&lt;&gt;0,H556&lt;&gt;0),"x"," ")</f>
        <v xml:space="preserve"> </v>
      </c>
      <c r="D556" s="338"/>
      <c r="E556" s="358" t="str">
        <f>VLOOKUP($B556,DG!A:D,DG!$C$2,)</f>
        <v>Kẹp cáp 3 boulon</v>
      </c>
      <c r="F556" s="338" t="str">
        <f>VLOOKUP($B556,DG!A:D,DG!$D$2,)</f>
        <v>cái</v>
      </c>
      <c r="G556" s="359">
        <v>16</v>
      </c>
      <c r="H556" s="360">
        <f t="shared" si="30"/>
        <v>0</v>
      </c>
      <c r="I556" s="360"/>
      <c r="J556" s="360"/>
      <c r="K556" s="360"/>
      <c r="L556" s="360"/>
      <c r="M556" s="332"/>
      <c r="N556" s="340"/>
      <c r="O556" s="341"/>
    </row>
    <row r="557" spans="1:15" ht="16.2" outlineLevel="1">
      <c r="A557" s="288"/>
      <c r="B557" s="351" t="s">
        <v>823</v>
      </c>
      <c r="C557" s="388" t="str">
        <f>IF(OR(I557&lt;&gt;0,H557&lt;&gt;0),"x"," ")</f>
        <v xml:space="preserve"> </v>
      </c>
      <c r="D557" s="338"/>
      <c r="E557" s="358" t="str">
        <f>VLOOKUP($B557,DG!A:D,DG!$C$2,)</f>
        <v>Cáp thép 3/8"</v>
      </c>
      <c r="F557" s="338" t="str">
        <f>VLOOKUP($B557,DG!A:D,DG!$D$2,)</f>
        <v>kg</v>
      </c>
      <c r="G557" s="359">
        <v>31</v>
      </c>
      <c r="H557" s="360">
        <f t="shared" si="30"/>
        <v>0</v>
      </c>
      <c r="I557" s="360"/>
      <c r="J557" s="360"/>
      <c r="K557" s="360"/>
      <c r="L557" s="360"/>
      <c r="M557" s="332"/>
      <c r="N557" s="340"/>
      <c r="O557" s="341"/>
    </row>
    <row r="558" spans="1:15" ht="16.2" outlineLevel="1">
      <c r="A558" s="288"/>
      <c r="B558" s="351" t="s">
        <v>824</v>
      </c>
      <c r="C558" s="388" t="str">
        <f>IF(OR(I558&lt;&gt;0,H558&lt;&gt;0),"x"," ")</f>
        <v xml:space="preserve"> </v>
      </c>
      <c r="D558" s="338"/>
      <c r="E558" s="358" t="str">
        <f>VLOOKUP($B558,DG!A:D,DG!$C$2,)</f>
        <v>Yếm cáp dày 2mm</v>
      </c>
      <c r="F558" s="338" t="str">
        <f>VLOOKUP($B558,DG!A:D,DG!$D$2,)</f>
        <v>cái</v>
      </c>
      <c r="G558" s="359">
        <v>4</v>
      </c>
      <c r="H558" s="360">
        <f t="shared" si="30"/>
        <v>0</v>
      </c>
      <c r="I558" s="360"/>
      <c r="J558" s="360"/>
      <c r="K558" s="360"/>
      <c r="L558" s="360"/>
      <c r="M558" s="332"/>
      <c r="N558" s="340"/>
      <c r="O558" s="341"/>
    </row>
    <row r="559" spans="1:15" ht="16.2" outlineLevel="1">
      <c r="A559" s="288"/>
      <c r="B559" s="351" t="s">
        <v>825</v>
      </c>
      <c r="C559" s="388" t="str">
        <f>IF(OR(I559&lt;&gt;0,H559&lt;&gt;0),"x"," ")</f>
        <v xml:space="preserve"> </v>
      </c>
      <c r="D559" s="338"/>
      <c r="E559" s="358" t="str">
        <f>VLOOKUP($B559,DG!A:D,DG!$C$2,)</f>
        <v>Máng che dây chằng dày 1,6mm</v>
      </c>
      <c r="F559" s="338" t="str">
        <f>VLOOKUP($B559,DG!A:D,DG!$D$2,)</f>
        <v>cái</v>
      </c>
      <c r="G559" s="359">
        <v>2</v>
      </c>
      <c r="H559" s="360">
        <f t="shared" si="30"/>
        <v>0</v>
      </c>
      <c r="I559" s="360"/>
      <c r="J559" s="360"/>
      <c r="K559" s="360"/>
      <c r="L559" s="360"/>
      <c r="M559" s="332"/>
      <c r="N559" s="340"/>
      <c r="O559" s="341"/>
    </row>
    <row r="560" spans="1:15" ht="16.2" outlineLevel="1">
      <c r="A560" s="288"/>
      <c r="B560" s="351" t="s">
        <v>826</v>
      </c>
      <c r="C560" s="388" t="str">
        <f>IF(OR(I560&lt;&gt;0,H560&lt;&gt;0),"x"," ")</f>
        <v xml:space="preserve"> </v>
      </c>
      <c r="D560" s="338" t="str">
        <f>VLOOKUP($B560,DG!A:D,DG!$B$2,)</f>
        <v>06.3241</v>
      </c>
      <c r="E560" s="366" t="str">
        <f>VLOOKUP($B560,DG!A:D,DG!$C$2,)</f>
        <v>Lắp bộ dây néo</v>
      </c>
      <c r="F560" s="338" t="str">
        <f>VLOOKUP($B560,DG!A:D,DG!$D$2,)</f>
        <v>bộ</v>
      </c>
      <c r="G560" s="359">
        <f>G554</f>
        <v>2</v>
      </c>
      <c r="H560" s="354"/>
      <c r="I560" s="354"/>
      <c r="J560" s="354"/>
      <c r="K560" s="354"/>
      <c r="L560" s="354"/>
      <c r="M560" s="332"/>
      <c r="N560" s="340"/>
      <c r="O560" s="341"/>
    </row>
    <row r="561" spans="1:15" ht="16.2" outlineLevel="1">
      <c r="A561" s="288"/>
      <c r="B561" s="356" t="s">
        <v>827</v>
      </c>
      <c r="C561" s="388" t="str">
        <f>IF(OR(I561&lt;&gt;0,H561&lt;&gt;0),"x"," ")</f>
        <v xml:space="preserve"> </v>
      </c>
      <c r="D561" s="338" t="str">
        <f>VLOOKUP($B561,DG!A:C,2,)</f>
        <v>02.1421</v>
      </c>
      <c r="E561" s="366" t="str">
        <f>VLOOKUP($B561,DG!A:C,3,)</f>
        <v>V/c phụ kiện vào vị trí (cự ly &lt;=100m)</v>
      </c>
      <c r="F561" s="338" t="str">
        <f>VLOOKUP($B561,DG!A:D,4,0)</f>
        <v>tấn</v>
      </c>
      <c r="G561" s="357">
        <v>0.02</v>
      </c>
      <c r="H561" s="354"/>
      <c r="I561" s="354"/>
      <c r="J561" s="354"/>
      <c r="K561" s="354"/>
      <c r="L561" s="354"/>
      <c r="M561" s="332"/>
      <c r="N561" s="340"/>
      <c r="O561" s="341"/>
    </row>
    <row r="562" spans="1:15" ht="16.2" outlineLevel="1">
      <c r="A562" s="342" t="s">
        <v>844</v>
      </c>
      <c r="B562" s="343" t="s">
        <v>844</v>
      </c>
      <c r="C562" s="388" t="str">
        <f>IF(OR(I562&lt;&gt;0,H562&lt;&gt;0),"x"," ")</f>
        <v xml:space="preserve"> </v>
      </c>
      <c r="D562" s="345"/>
      <c r="E562" s="346" t="s">
        <v>845</v>
      </c>
      <c r="F562" s="347" t="s">
        <v>285</v>
      </c>
      <c r="G562" s="348"/>
      <c r="H562" s="349">
        <f>IFERROR(HLOOKUP(B562,'BKT-ThuHoi'!$5:$183,179,0),0)</f>
        <v>0</v>
      </c>
      <c r="I562" s="350">
        <f>H562+J562-K562</f>
        <v>0</v>
      </c>
      <c r="J562" s="350"/>
      <c r="K562" s="350"/>
      <c r="L562" s="350"/>
      <c r="M562" s="332"/>
      <c r="N562" s="340"/>
      <c r="O562" s="341"/>
    </row>
    <row r="563" spans="1:15" ht="16.2" outlineLevel="1">
      <c r="A563" s="288"/>
      <c r="B563" s="351" t="s">
        <v>826</v>
      </c>
      <c r="C563" s="388" t="str">
        <f>IF(OR(I563&lt;&gt;0,H563&lt;&gt;0),"x"," ")</f>
        <v xml:space="preserve"> </v>
      </c>
      <c r="D563" s="338"/>
      <c r="E563" s="366" t="s">
        <v>830</v>
      </c>
      <c r="F563" s="338" t="str">
        <f>VLOOKUP($B563,DG!A:D,DG!$D$2,)</f>
        <v>bộ</v>
      </c>
      <c r="G563" s="359">
        <v>1</v>
      </c>
      <c r="H563" s="360">
        <f t="shared" ref="H563:H564" si="31">H$562*$G563</f>
        <v>0</v>
      </c>
      <c r="I563" s="360"/>
      <c r="J563" s="360"/>
      <c r="K563" s="360"/>
      <c r="L563" s="360"/>
      <c r="M563" s="332"/>
      <c r="N563" s="340"/>
      <c r="O563" s="341"/>
    </row>
    <row r="564" spans="1:15" ht="16.2" outlineLevel="1">
      <c r="A564" s="288"/>
      <c r="B564" s="356" t="s">
        <v>827</v>
      </c>
      <c r="C564" s="388" t="str">
        <f>IF(OR(I564&lt;&gt;0,H564&lt;&gt;0),"x"," ")</f>
        <v xml:space="preserve"> </v>
      </c>
      <c r="D564" s="338" t="str">
        <f>VLOOKUP($B564,DG!A:C,2,)</f>
        <v>02.1421</v>
      </c>
      <c r="E564" s="366" t="str">
        <f>VLOOKUP($B564,DG!A:C,3,)</f>
        <v>V/c phụ kiện vào vị trí (cự ly &lt;=100m)</v>
      </c>
      <c r="F564" s="338" t="str">
        <f>VLOOKUP($B564,DG!A:D,4,0)</f>
        <v>tấn</v>
      </c>
      <c r="G564" s="357">
        <v>0.02</v>
      </c>
      <c r="H564" s="360">
        <f t="shared" si="31"/>
        <v>0</v>
      </c>
      <c r="I564" s="360"/>
      <c r="J564" s="360"/>
      <c r="K564" s="360"/>
      <c r="L564" s="360"/>
      <c r="M564" s="332"/>
      <c r="N564" s="340"/>
      <c r="O564" s="341"/>
    </row>
    <row r="565" spans="1:15" ht="16.2" outlineLevel="1" collapsed="1">
      <c r="A565" s="372" t="s">
        <v>846</v>
      </c>
      <c r="B565" s="373" t="s">
        <v>846</v>
      </c>
      <c r="C565" s="388" t="str">
        <f>IF(OR(I565&lt;&gt;0,H565&lt;&gt;0),"x"," ")</f>
        <v>x</v>
      </c>
      <c r="D565" s="345"/>
      <c r="E565" s="346" t="s">
        <v>847</v>
      </c>
      <c r="F565" s="347" t="s">
        <v>285</v>
      </c>
      <c r="G565" s="348"/>
      <c r="H565" s="349">
        <f>IFERROR(HLOOKUP(B565,'BKT-ThuHoi'!$5:$183,179,0),0)</f>
        <v>9</v>
      </c>
      <c r="I565" s="399">
        <f>H565+J565-K565</f>
        <v>9</v>
      </c>
      <c r="J565" s="350"/>
      <c r="K565" s="350"/>
      <c r="L565" s="350"/>
      <c r="M565" s="340"/>
      <c r="N565" s="340"/>
      <c r="O565" s="341"/>
    </row>
    <row r="566" spans="1:15" ht="16.2" outlineLevel="1">
      <c r="B566" s="336" t="s">
        <v>840</v>
      </c>
      <c r="C566" s="388" t="str">
        <f>IF(OR(I566&lt;&gt;0,H566&lt;&gt;0),"x"," ")</f>
        <v>x</v>
      </c>
      <c r="D566" s="338"/>
      <c r="E566" s="358" t="str">
        <f>VLOOKUP($B566,DG!A:D,DG!$C$2,)</f>
        <v>Boulon mắt 16x300</v>
      </c>
      <c r="F566" s="338" t="str">
        <f>VLOOKUP($B566,DG!A:D,DG!$D$2,)</f>
        <v>bộ</v>
      </c>
      <c r="G566" s="359">
        <v>1</v>
      </c>
      <c r="H566" s="360">
        <f t="shared" ref="H566:H572" si="32">H$565*$G566</f>
        <v>9</v>
      </c>
      <c r="I566" s="360">
        <f>$I$565*G566</f>
        <v>9</v>
      </c>
      <c r="J566" s="360"/>
      <c r="K566" s="360">
        <f>$K$565*G566</f>
        <v>0</v>
      </c>
      <c r="L566" s="360"/>
      <c r="M566" s="340"/>
      <c r="N566" s="340"/>
      <c r="O566" s="341"/>
    </row>
    <row r="567" spans="1:15" ht="16.2" outlineLevel="1">
      <c r="B567" s="336" t="s">
        <v>821</v>
      </c>
      <c r="C567" s="388" t="str">
        <f>IF(OR(I567&lt;&gt;0,H567&lt;&gt;0),"x"," ")</f>
        <v>x</v>
      </c>
      <c r="D567" s="338"/>
      <c r="E567" s="358" t="str">
        <f>VLOOKUP($B567,DG!A:D,DG!$C$2,)</f>
        <v>Sứ chằng</v>
      </c>
      <c r="F567" s="338" t="str">
        <f>VLOOKUP($B567,DG!A:D,DG!$D$2,)</f>
        <v>cái</v>
      </c>
      <c r="G567" s="359">
        <v>1</v>
      </c>
      <c r="H567" s="360">
        <f t="shared" si="32"/>
        <v>9</v>
      </c>
      <c r="I567" s="360">
        <f>$I$565*G567</f>
        <v>9</v>
      </c>
      <c r="J567" s="360"/>
      <c r="K567" s="360">
        <f>$K$565*G567</f>
        <v>0</v>
      </c>
      <c r="L567" s="360"/>
      <c r="M567" s="340"/>
      <c r="N567" s="340"/>
      <c r="O567" s="341"/>
    </row>
    <row r="568" spans="1:15" ht="16.2" outlineLevel="1">
      <c r="B568" s="336" t="s">
        <v>822</v>
      </c>
      <c r="C568" s="388" t="str">
        <f>IF(OR(I568&lt;&gt;0,H568&lt;&gt;0),"x"," ")</f>
        <v>x</v>
      </c>
      <c r="D568" s="338"/>
      <c r="E568" s="358" t="str">
        <f>VLOOKUP($B568,DG!A:D,DG!$C$2,)</f>
        <v>Kẹp cáp 3 boulon</v>
      </c>
      <c r="F568" s="338" t="str">
        <f>VLOOKUP($B568,DG!A:D,DG!$D$2,)</f>
        <v>cái</v>
      </c>
      <c r="G568" s="359">
        <v>8</v>
      </c>
      <c r="H568" s="360">
        <f t="shared" si="32"/>
        <v>72</v>
      </c>
      <c r="I568" s="360">
        <f>$I$565*G568</f>
        <v>72</v>
      </c>
      <c r="J568" s="360"/>
      <c r="K568" s="360">
        <f>$K$565*G568</f>
        <v>0</v>
      </c>
      <c r="L568" s="360"/>
      <c r="M568" s="340"/>
      <c r="N568" s="340"/>
      <c r="O568" s="341"/>
    </row>
    <row r="569" spans="1:15" ht="16.2" outlineLevel="1">
      <c r="B569" s="336" t="s">
        <v>848</v>
      </c>
      <c r="C569" s="388" t="str">
        <f>IF(OR(I569&lt;&gt;0,H569&lt;&gt;0),"x"," ")</f>
        <v xml:space="preserve"> </v>
      </c>
      <c r="D569" s="338"/>
      <c r="E569" s="358" t="str">
        <f>VLOOKUP($B569,DG!A:D,DG!$C$2,)</f>
        <v>Cáp thép 5/8"</v>
      </c>
      <c r="F569" s="402">
        <f>N569</f>
        <v>0</v>
      </c>
      <c r="G569" s="385">
        <f>O569</f>
        <v>0</v>
      </c>
      <c r="H569" s="379">
        <f t="shared" si="32"/>
        <v>0</v>
      </c>
      <c r="I569" s="379">
        <f>$I$565*G569</f>
        <v>0</v>
      </c>
      <c r="J569" s="379"/>
      <c r="K569" s="360">
        <f>$K$565*G569</f>
        <v>0</v>
      </c>
      <c r="L569" s="360"/>
      <c r="M569" s="340"/>
      <c r="N569" s="340"/>
      <c r="O569" s="341"/>
    </row>
    <row r="570" spans="1:15" ht="16.2" outlineLevel="1">
      <c r="B570" s="336" t="s">
        <v>824</v>
      </c>
      <c r="C570" s="388" t="str">
        <f>IF(OR(I570&lt;&gt;0,H570&lt;&gt;0),"x"," ")</f>
        <v xml:space="preserve"> </v>
      </c>
      <c r="D570" s="338"/>
      <c r="E570" s="358" t="str">
        <f>VLOOKUP($B570,DG!A:D,DG!$C$2,)</f>
        <v>Yếm cáp dày 2mm</v>
      </c>
      <c r="F570" s="338" t="str">
        <f>VLOOKUP($B570,DG!A:D,DG!$D$2,)</f>
        <v>cái</v>
      </c>
      <c r="G570" s="359"/>
      <c r="H570" s="360">
        <f t="shared" si="32"/>
        <v>0</v>
      </c>
      <c r="I570" s="360">
        <f>$I$565*G570</f>
        <v>0</v>
      </c>
      <c r="J570" s="360"/>
      <c r="K570" s="360">
        <f>$K$565*G570</f>
        <v>0</v>
      </c>
      <c r="L570" s="360"/>
      <c r="M570" s="340"/>
      <c r="N570" s="340"/>
      <c r="O570" s="341"/>
    </row>
    <row r="571" spans="1:15" ht="16.2" outlineLevel="1">
      <c r="B571" s="336" t="s">
        <v>825</v>
      </c>
      <c r="C571" s="388" t="str">
        <f>IF(OR(I571&lt;&gt;0,H571&lt;&gt;0),"x"," ")</f>
        <v>x</v>
      </c>
      <c r="D571" s="338"/>
      <c r="E571" s="358" t="str">
        <f>VLOOKUP($B571,DG!A:D,DG!$C$2,)</f>
        <v>Máng che dây chằng dày 1,6mm</v>
      </c>
      <c r="F571" s="338" t="str">
        <f>VLOOKUP($B571,DG!A:D,DG!$D$2,)</f>
        <v>cái</v>
      </c>
      <c r="G571" s="359">
        <v>1</v>
      </c>
      <c r="H571" s="360">
        <f t="shared" si="32"/>
        <v>9</v>
      </c>
      <c r="I571" s="360">
        <f>$I$565*G571</f>
        <v>9</v>
      </c>
      <c r="J571" s="360"/>
      <c r="K571" s="360">
        <f>$K$565*G571</f>
        <v>0</v>
      </c>
      <c r="L571" s="360"/>
      <c r="M571" s="340"/>
      <c r="N571" s="340"/>
      <c r="O571" s="341"/>
    </row>
    <row r="572" spans="1:15" ht="16.2" outlineLevel="1">
      <c r="B572" s="336" t="s">
        <v>826</v>
      </c>
      <c r="C572" s="388" t="str">
        <f>IF(OR(I572&lt;&gt;0,H572&lt;&gt;0),"x"," ")</f>
        <v>x</v>
      </c>
      <c r="D572" s="338" t="str">
        <f>VLOOKUP($B572,DG!A:D,DG!$B$2,)</f>
        <v>06.3241</v>
      </c>
      <c r="E572" s="366" t="str">
        <f>VLOOKUP($B572,DG!A:D,DG!$C$2,)</f>
        <v>Lắp bộ dây néo</v>
      </c>
      <c r="F572" s="338" t="str">
        <f>VLOOKUP($B572,DG!A:D,DG!$D$2,)</f>
        <v>bộ</v>
      </c>
      <c r="G572" s="359">
        <f>G566</f>
        <v>1</v>
      </c>
      <c r="H572" s="360">
        <f t="shared" si="32"/>
        <v>9</v>
      </c>
      <c r="I572" s="360">
        <f>$I$565*G572</f>
        <v>9</v>
      </c>
      <c r="J572" s="354"/>
      <c r="K572" s="360">
        <f>$K$565*G572</f>
        <v>0</v>
      </c>
      <c r="L572" s="354"/>
      <c r="M572" s="340"/>
      <c r="N572" s="340"/>
      <c r="O572" s="341"/>
    </row>
    <row r="573" spans="1:15" ht="16.2" outlineLevel="1">
      <c r="B573" s="351" t="s">
        <v>826</v>
      </c>
      <c r="C573" s="388" t="str">
        <f>IF(OR(I573&lt;&gt;0,H573&lt;&gt;0),"x"," ")</f>
        <v xml:space="preserve"> </v>
      </c>
      <c r="D573" s="338" t="str">
        <f>VLOOKUP($B573,DG!A:D,DG!$B$2,)</f>
        <v>06.3241</v>
      </c>
      <c r="E573" s="366" t="s">
        <v>849</v>
      </c>
      <c r="F573" s="338" t="str">
        <f>VLOOKUP($B573,DG!A:D,DG!$D$2,)</f>
        <v>bộ</v>
      </c>
      <c r="G573" s="359">
        <f>G567*2</f>
        <v>2</v>
      </c>
      <c r="H573" s="360"/>
      <c r="I573" s="360"/>
      <c r="J573" s="354"/>
      <c r="K573" s="360">
        <f>$K$565*G573</f>
        <v>0</v>
      </c>
      <c r="L573" s="354"/>
      <c r="M573" s="340"/>
      <c r="N573" s="340"/>
      <c r="O573" s="341"/>
    </row>
    <row r="574" spans="1:15" ht="16.2" outlineLevel="1">
      <c r="A574" s="342" t="s">
        <v>850</v>
      </c>
      <c r="B574" s="343" t="s">
        <v>850</v>
      </c>
      <c r="C574" s="388" t="str">
        <f>IF(OR(I574&lt;&gt;0,H574&lt;&gt;0),"x"," ")</f>
        <v xml:space="preserve"> </v>
      </c>
      <c r="D574" s="345"/>
      <c r="E574" s="346" t="s">
        <v>851</v>
      </c>
      <c r="F574" s="347" t="s">
        <v>285</v>
      </c>
      <c r="G574" s="348"/>
      <c r="H574" s="349">
        <f>IFERROR(HLOOKUP(B574,'BKT-ThuHoi'!$5:$183,179,0),0)</f>
        <v>0</v>
      </c>
      <c r="I574" s="350">
        <f>H574+J574-K574</f>
        <v>0</v>
      </c>
      <c r="J574" s="350"/>
      <c r="K574" s="350"/>
      <c r="L574" s="350"/>
      <c r="M574" s="332"/>
      <c r="N574" s="340"/>
      <c r="O574" s="341"/>
    </row>
    <row r="575" spans="1:15" ht="16.2" outlineLevel="1">
      <c r="A575" s="288"/>
      <c r="B575" s="351" t="s">
        <v>826</v>
      </c>
      <c r="C575" s="388" t="str">
        <f>IF(OR(I575&lt;&gt;0,H575&lt;&gt;0),"x"," ")</f>
        <v xml:space="preserve"> </v>
      </c>
      <c r="D575" s="338"/>
      <c r="E575" s="366" t="s">
        <v>830</v>
      </c>
      <c r="F575" s="338" t="str">
        <f>VLOOKUP($B575,DG!A:D,DG!$D$2,)</f>
        <v>bộ</v>
      </c>
      <c r="G575" s="359">
        <v>1</v>
      </c>
      <c r="H575" s="360">
        <f>H$574*$G575</f>
        <v>0</v>
      </c>
      <c r="I575" s="360"/>
      <c r="J575" s="360"/>
      <c r="K575" s="360"/>
      <c r="L575" s="360"/>
      <c r="M575" s="332"/>
      <c r="N575" s="340"/>
      <c r="O575" s="341"/>
    </row>
    <row r="576" spans="1:15" ht="16.2" outlineLevel="1">
      <c r="A576" s="288"/>
      <c r="B576" s="351" t="s">
        <v>831</v>
      </c>
      <c r="C576" s="388" t="str">
        <f>IF(OR(I576&lt;&gt;0,H576&lt;&gt;0),"x"," ")</f>
        <v xml:space="preserve"> </v>
      </c>
      <c r="D576" s="338"/>
      <c r="E576" s="366" t="s">
        <v>832</v>
      </c>
      <c r="F576" s="338" t="str">
        <f>VLOOKUP($B576,DG!A:D,DG!$D$2,)</f>
        <v>bộ</v>
      </c>
      <c r="G576" s="359">
        <v>1</v>
      </c>
      <c r="H576" s="360">
        <f>H$574*$G576</f>
        <v>0</v>
      </c>
      <c r="I576" s="360"/>
      <c r="J576" s="360"/>
      <c r="K576" s="360"/>
      <c r="L576" s="360"/>
      <c r="M576" s="332"/>
      <c r="N576" s="340"/>
      <c r="O576" s="341"/>
    </row>
    <row r="577" spans="1:15" ht="16.2" outlineLevel="1">
      <c r="A577" s="288"/>
      <c r="B577" s="356" t="s">
        <v>827</v>
      </c>
      <c r="C577" s="388" t="str">
        <f>IF(OR(I577&lt;&gt;0,H577&lt;&gt;0),"x"," ")</f>
        <v xml:space="preserve"> </v>
      </c>
      <c r="D577" s="338" t="str">
        <f>VLOOKUP($B577,DG!A:C,2,)</f>
        <v>02.1421</v>
      </c>
      <c r="E577" s="366" t="str">
        <f>VLOOKUP($B577,DG!A:C,3,)</f>
        <v>V/c phụ kiện vào vị trí (cự ly &lt;=100m)</v>
      </c>
      <c r="F577" s="338" t="str">
        <f>VLOOKUP($B577,DG!A:D,4,0)</f>
        <v>tấn</v>
      </c>
      <c r="G577" s="357">
        <v>0.02</v>
      </c>
      <c r="H577" s="360">
        <f>H$574*$G577</f>
        <v>0</v>
      </c>
      <c r="I577" s="360"/>
      <c r="J577" s="360"/>
      <c r="K577" s="360"/>
      <c r="L577" s="360"/>
      <c r="M577" s="332"/>
      <c r="N577" s="340"/>
      <c r="O577" s="341"/>
    </row>
    <row r="578" spans="1:15" ht="16.2" outlineLevel="1">
      <c r="A578" s="372" t="s">
        <v>852</v>
      </c>
      <c r="B578" s="373" t="s">
        <v>852</v>
      </c>
      <c r="C578" s="388" t="str">
        <f>IF(OR(I578&lt;&gt;0,H578&lt;&gt;0),"x"," ")</f>
        <v>x</v>
      </c>
      <c r="D578" s="345"/>
      <c r="E578" s="346" t="s">
        <v>853</v>
      </c>
      <c r="F578" s="347" t="s">
        <v>285</v>
      </c>
      <c r="G578" s="348"/>
      <c r="H578" s="349">
        <f>IFERROR(HLOOKUP(B578,'BKT-ThuHoi'!$5:$183,179,0),0)</f>
        <v>3</v>
      </c>
      <c r="I578" s="399">
        <f>H578+J578-K578</f>
        <v>3</v>
      </c>
      <c r="J578" s="350"/>
      <c r="K578" s="350"/>
      <c r="L578" s="350"/>
      <c r="M578" s="340"/>
      <c r="N578" s="340"/>
      <c r="O578" s="341"/>
    </row>
    <row r="579" spans="1:15" ht="16.2" outlineLevel="1">
      <c r="B579" s="336" t="s">
        <v>840</v>
      </c>
      <c r="C579" s="388" t="str">
        <f>IF(OR(I579&lt;&gt;0,H579&lt;&gt;0),"x"," ")</f>
        <v>x</v>
      </c>
      <c r="D579" s="338"/>
      <c r="E579" s="358" t="str">
        <f>VLOOKUP($B579,DG!A:D,DG!$C$2,)</f>
        <v>Boulon mắt 16x300</v>
      </c>
      <c r="F579" s="338" t="str">
        <f>VLOOKUP($B579,DG!A:D,DG!$D$2,)</f>
        <v>bộ</v>
      </c>
      <c r="G579" s="359">
        <v>1</v>
      </c>
      <c r="H579" s="360">
        <f t="shared" ref="H579:H586" si="33">H$578*$G579</f>
        <v>3</v>
      </c>
      <c r="I579" s="360">
        <f>$I$578*G579</f>
        <v>3</v>
      </c>
      <c r="J579" s="360">
        <f>$J$578*G579</f>
        <v>0</v>
      </c>
      <c r="K579" s="360"/>
      <c r="L579" s="360"/>
      <c r="M579" s="340"/>
      <c r="N579" s="340"/>
      <c r="O579" s="341"/>
    </row>
    <row r="580" spans="1:15" ht="16.2" outlineLevel="1">
      <c r="B580" s="336" t="s">
        <v>821</v>
      </c>
      <c r="C580" s="388" t="str">
        <f>IF(OR(I580&lt;&gt;0,H580&lt;&gt;0),"x"," ")</f>
        <v>x</v>
      </c>
      <c r="D580" s="338"/>
      <c r="E580" s="358" t="str">
        <f>VLOOKUP($B580,DG!A:D,DG!$C$2,)</f>
        <v>Sứ chằng</v>
      </c>
      <c r="F580" s="338" t="str">
        <f>VLOOKUP($B580,DG!A:D,DG!$D$2,)</f>
        <v>cái</v>
      </c>
      <c r="G580" s="359">
        <v>1</v>
      </c>
      <c r="H580" s="360">
        <f t="shared" si="33"/>
        <v>3</v>
      </c>
      <c r="I580" s="360">
        <f>$I$578*G580</f>
        <v>3</v>
      </c>
      <c r="J580" s="360">
        <f>$J$578*G580</f>
        <v>0</v>
      </c>
      <c r="K580" s="360"/>
      <c r="L580" s="360"/>
      <c r="M580" s="340"/>
      <c r="N580" s="340"/>
      <c r="O580" s="341"/>
    </row>
    <row r="581" spans="1:15" ht="16.2" outlineLevel="1">
      <c r="B581" s="336" t="s">
        <v>822</v>
      </c>
      <c r="C581" s="388" t="str">
        <f>IF(OR(I581&lt;&gt;0,H581&lt;&gt;0),"x"," ")</f>
        <v>x</v>
      </c>
      <c r="D581" s="338"/>
      <c r="E581" s="358" t="str">
        <f>VLOOKUP($B581,DG!A:D,DG!$C$2,)</f>
        <v>Kẹp cáp 3 boulon</v>
      </c>
      <c r="F581" s="338" t="str">
        <f>VLOOKUP($B581,DG!A:D,DG!$D$2,)</f>
        <v>cái</v>
      </c>
      <c r="G581" s="359">
        <v>8</v>
      </c>
      <c r="H581" s="360">
        <f t="shared" si="33"/>
        <v>24</v>
      </c>
      <c r="I581" s="360">
        <f>$I$578*G581</f>
        <v>24</v>
      </c>
      <c r="J581" s="360">
        <f>$J$578*G581</f>
        <v>0</v>
      </c>
      <c r="K581" s="360"/>
      <c r="L581" s="360"/>
      <c r="M581" s="340"/>
      <c r="N581" s="340"/>
      <c r="O581" s="341"/>
    </row>
    <row r="582" spans="1:15" ht="16.2" outlineLevel="1">
      <c r="B582" s="336" t="s">
        <v>848</v>
      </c>
      <c r="C582" s="388" t="str">
        <f>IF(OR(I582&lt;&gt;0,H582&lt;&gt;0),"x"," ")</f>
        <v xml:space="preserve"> </v>
      </c>
      <c r="D582" s="338"/>
      <c r="E582" s="358" t="str">
        <f>VLOOKUP($B582,DG!A:D,DG!$C$2,)</f>
        <v>Cáp thép 5/8"</v>
      </c>
      <c r="F582" s="402">
        <f>N582</f>
        <v>0</v>
      </c>
      <c r="G582" s="385">
        <f>O582</f>
        <v>0</v>
      </c>
      <c r="H582" s="360">
        <f t="shared" si="33"/>
        <v>0</v>
      </c>
      <c r="I582" s="360">
        <f>$I$578*G582</f>
        <v>0</v>
      </c>
      <c r="J582" s="379">
        <f>$J$578*G582</f>
        <v>0</v>
      </c>
      <c r="K582" s="360"/>
      <c r="L582" s="360"/>
      <c r="M582" s="340"/>
      <c r="N582" s="340"/>
      <c r="O582" s="341"/>
    </row>
    <row r="583" spans="1:15" ht="16.2" outlineLevel="1">
      <c r="B583" s="336" t="s">
        <v>841</v>
      </c>
      <c r="C583" s="388" t="str">
        <f>IF(OR(I583&lt;&gt;0,H583&lt;&gt;0),"x"," ")</f>
        <v>x</v>
      </c>
      <c r="D583" s="338"/>
      <c r="E583" s="358" t="str">
        <f>VLOOKUP($B583,DG!A:D,DG!$C$2,)</f>
        <v>Bộ chống chằng hẹp Ø60/50x1500+2BL12x40+BL16x250/80</v>
      </c>
      <c r="F583" s="338" t="str">
        <f>VLOOKUP($B583,DG!A:D,DG!$D$2,)</f>
        <v>bộ</v>
      </c>
      <c r="G583" s="359">
        <v>1</v>
      </c>
      <c r="H583" s="360">
        <f t="shared" si="33"/>
        <v>3</v>
      </c>
      <c r="I583" s="360">
        <f>$I$578*G583</f>
        <v>3</v>
      </c>
      <c r="J583" s="360">
        <f>$J$578*G583</f>
        <v>0</v>
      </c>
      <c r="K583" s="360"/>
      <c r="L583" s="360"/>
      <c r="M583" s="340"/>
      <c r="N583" s="340"/>
      <c r="O583" s="341"/>
    </row>
    <row r="584" spans="1:15" ht="16.2" outlineLevel="1">
      <c r="B584" s="336" t="s">
        <v>824</v>
      </c>
      <c r="C584" s="388" t="str">
        <f>IF(OR(I584&lt;&gt;0,H584&lt;&gt;0),"x"," ")</f>
        <v>x</v>
      </c>
      <c r="D584" s="338"/>
      <c r="E584" s="358" t="str">
        <f>VLOOKUP($B584,DG!A:D,DG!$C$2,)</f>
        <v>Yếm cáp dày 2mm</v>
      </c>
      <c r="F584" s="338" t="str">
        <f>VLOOKUP($B584,DG!A:D,DG!$D$2,)</f>
        <v>cái</v>
      </c>
      <c r="G584" s="359">
        <v>2</v>
      </c>
      <c r="H584" s="360">
        <f t="shared" si="33"/>
        <v>6</v>
      </c>
      <c r="I584" s="360">
        <f>$I$578*G584</f>
        <v>6</v>
      </c>
      <c r="J584" s="360">
        <f>$J$578*G584</f>
        <v>0</v>
      </c>
      <c r="K584" s="360"/>
      <c r="L584" s="360"/>
      <c r="M584" s="340"/>
      <c r="N584" s="340"/>
      <c r="O584" s="341"/>
    </row>
    <row r="585" spans="1:15" ht="16.2" outlineLevel="1">
      <c r="B585" s="336" t="s">
        <v>825</v>
      </c>
      <c r="C585" s="388" t="str">
        <f>IF(OR(I585&lt;&gt;0,H585&lt;&gt;0),"x"," ")</f>
        <v>x</v>
      </c>
      <c r="D585" s="338"/>
      <c r="E585" s="358" t="str">
        <f>VLOOKUP($B585,DG!A:D,DG!$C$2,)</f>
        <v>Máng che dây chằng dày 1,6mm</v>
      </c>
      <c r="F585" s="338" t="str">
        <f>VLOOKUP($B585,DG!A:D,DG!$D$2,)</f>
        <v>cái</v>
      </c>
      <c r="G585" s="359">
        <v>1</v>
      </c>
      <c r="H585" s="360">
        <f t="shared" si="33"/>
        <v>3</v>
      </c>
      <c r="I585" s="360">
        <f>$I$578*G585</f>
        <v>3</v>
      </c>
      <c r="J585" s="360">
        <f>$J$578*G585</f>
        <v>0</v>
      </c>
      <c r="K585" s="360"/>
      <c r="L585" s="360"/>
      <c r="M585" s="340"/>
      <c r="N585" s="340"/>
      <c r="O585" s="341"/>
    </row>
    <row r="586" spans="1:15" ht="16.2" outlineLevel="1">
      <c r="B586" s="336" t="s">
        <v>826</v>
      </c>
      <c r="C586" s="388" t="str">
        <f>IF(OR(I586&lt;&gt;0,H586&lt;&gt;0),"x"," ")</f>
        <v>x</v>
      </c>
      <c r="D586" s="338" t="str">
        <f>VLOOKUP($B586,DG!A:D,DG!$B$2,)</f>
        <v>06.3241</v>
      </c>
      <c r="E586" s="366" t="str">
        <f>VLOOKUP($B586,DG!A:D,DG!$C$2,)</f>
        <v>Lắp bộ dây néo</v>
      </c>
      <c r="F586" s="338" t="str">
        <f>VLOOKUP($B586,DG!A:D,DG!$D$2,)</f>
        <v>bộ</v>
      </c>
      <c r="G586" s="359">
        <v>1</v>
      </c>
      <c r="H586" s="360">
        <f t="shared" si="33"/>
        <v>3</v>
      </c>
      <c r="I586" s="360">
        <f>$I$578*G586</f>
        <v>3</v>
      </c>
      <c r="J586" s="360">
        <f>$J$578*G586</f>
        <v>0</v>
      </c>
      <c r="K586" s="354"/>
      <c r="L586" s="354"/>
      <c r="M586" s="340"/>
      <c r="N586" s="340"/>
      <c r="O586" s="341"/>
    </row>
    <row r="587" spans="1:15" ht="16.2" outlineLevel="1">
      <c r="A587" s="384"/>
      <c r="B587" s="336" t="s">
        <v>831</v>
      </c>
      <c r="C587" s="388" t="str">
        <f>IF(OR(I587&lt;&gt;0,H587&lt;&gt;0),"x"," ")</f>
        <v xml:space="preserve"> </v>
      </c>
      <c r="D587" s="338" t="str">
        <f>VLOOKUP($B587,DG!A:D,DG!$B$2,)</f>
        <v>05.6011</v>
      </c>
      <c r="E587" s="366" t="str">
        <f>VLOOKUP($B587,DG!A:D,DG!$C$2,)</f>
        <v>Lắp bộ chống lệch</v>
      </c>
      <c r="F587" s="338" t="str">
        <f>VLOOKUP($B587,DG!A:D,DG!$D$2,)</f>
        <v>bộ</v>
      </c>
      <c r="G587" s="359">
        <v>1</v>
      </c>
      <c r="H587" s="360"/>
      <c r="I587" s="360"/>
      <c r="J587" s="360">
        <f>$J$578*G587</f>
        <v>0</v>
      </c>
      <c r="K587" s="354"/>
      <c r="L587" s="354"/>
      <c r="M587" s="339"/>
      <c r="N587" s="340"/>
      <c r="O587" s="341"/>
    </row>
    <row r="588" spans="1:15" ht="16.2" outlineLevel="1">
      <c r="A588" s="288"/>
      <c r="B588" s="356" t="s">
        <v>827</v>
      </c>
      <c r="C588" s="388" t="str">
        <f>IF(OR(I588&lt;&gt;0,H588&lt;&gt;0),"x"," ")</f>
        <v xml:space="preserve"> </v>
      </c>
      <c r="D588" s="338" t="str">
        <f>VLOOKUP($B588,DG!A:C,2,)</f>
        <v>02.1421</v>
      </c>
      <c r="E588" s="366" t="str">
        <f>VLOOKUP($B588,DG!A:C,3,)</f>
        <v>V/c phụ kiện vào vị trí (cự ly &lt;=100m)</v>
      </c>
      <c r="F588" s="338" t="str">
        <f>VLOOKUP($B588,DG!A:D,4,0)</f>
        <v>tấn</v>
      </c>
      <c r="G588" s="357"/>
      <c r="H588" s="354"/>
      <c r="I588" s="354"/>
      <c r="J588" s="354"/>
      <c r="K588" s="354"/>
      <c r="L588" s="354"/>
      <c r="M588" s="332"/>
      <c r="N588" s="340"/>
      <c r="O588" s="341"/>
    </row>
    <row r="589" spans="1:15" ht="16.2" outlineLevel="1">
      <c r="A589" s="342" t="s">
        <v>854</v>
      </c>
      <c r="B589" s="343" t="s">
        <v>854</v>
      </c>
      <c r="C589" s="388" t="str">
        <f>IF(OR(I589&lt;&gt;0,H589&lt;&gt;0),"x"," ")</f>
        <v xml:space="preserve"> </v>
      </c>
      <c r="D589" s="345"/>
      <c r="E589" s="346" t="s">
        <v>855</v>
      </c>
      <c r="F589" s="347" t="s">
        <v>285</v>
      </c>
      <c r="G589" s="348"/>
      <c r="H589" s="349">
        <f>IFERROR(HLOOKUP(B589,'BKT-ThuHoi'!$5:$183,179,0),0)</f>
        <v>0</v>
      </c>
      <c r="I589" s="350">
        <f>H589+J589-K589</f>
        <v>0</v>
      </c>
      <c r="J589" s="350"/>
      <c r="K589" s="350"/>
      <c r="L589" s="350"/>
      <c r="M589" s="332"/>
      <c r="N589" s="340"/>
      <c r="O589" s="341"/>
    </row>
    <row r="590" spans="1:15" ht="16.2" outlineLevel="1">
      <c r="A590" s="288"/>
      <c r="B590" s="351" t="s">
        <v>820</v>
      </c>
      <c r="C590" s="388" t="str">
        <f>IF(OR(I590&lt;&gt;0,H590&lt;&gt;0),"x"," ")</f>
        <v xml:space="preserve"> </v>
      </c>
      <c r="D590" s="338"/>
      <c r="E590" s="358" t="str">
        <f>VLOOKUP($B590,DG!A:D,DG!$C$2,)</f>
        <v>Boulon mắt 16x250</v>
      </c>
      <c r="F590" s="338" t="str">
        <f>VLOOKUP($B590,DG!A:D,DG!$D$2,)</f>
        <v>bộ</v>
      </c>
      <c r="G590" s="359">
        <v>2</v>
      </c>
      <c r="H590" s="360">
        <f t="shared" ref="H590:H595" si="34">H$589*$G590</f>
        <v>0</v>
      </c>
      <c r="I590" s="360"/>
      <c r="J590" s="360"/>
      <c r="K590" s="360"/>
      <c r="L590" s="360"/>
      <c r="M590" s="332"/>
      <c r="N590" s="340"/>
      <c r="O590" s="341"/>
    </row>
    <row r="591" spans="1:15" ht="16.2" outlineLevel="1">
      <c r="A591" s="288"/>
      <c r="B591" s="351" t="s">
        <v>821</v>
      </c>
      <c r="C591" s="388" t="str">
        <f>IF(OR(I591&lt;&gt;0,H591&lt;&gt;0),"x"," ")</f>
        <v xml:space="preserve"> </v>
      </c>
      <c r="D591" s="338"/>
      <c r="E591" s="358" t="str">
        <f>VLOOKUP($B591,DG!A:D,DG!$C$2,)</f>
        <v>Sứ chằng</v>
      </c>
      <c r="F591" s="338" t="str">
        <f>VLOOKUP($B591,DG!A:D,DG!$D$2,)</f>
        <v>cái</v>
      </c>
      <c r="G591" s="359">
        <v>2</v>
      </c>
      <c r="H591" s="360">
        <f t="shared" si="34"/>
        <v>0</v>
      </c>
      <c r="I591" s="360"/>
      <c r="J591" s="360"/>
      <c r="K591" s="360"/>
      <c r="L591" s="360"/>
      <c r="M591" s="332"/>
      <c r="N591" s="340"/>
      <c r="O591" s="341"/>
    </row>
    <row r="592" spans="1:15" ht="16.2" outlineLevel="1">
      <c r="A592" s="288"/>
      <c r="B592" s="351" t="s">
        <v>822</v>
      </c>
      <c r="C592" s="388" t="str">
        <f>IF(OR(I592&lt;&gt;0,H592&lt;&gt;0),"x"," ")</f>
        <v xml:space="preserve"> </v>
      </c>
      <c r="D592" s="338"/>
      <c r="E592" s="358" t="str">
        <f>VLOOKUP($B592,DG!A:D,DG!$C$2,)</f>
        <v>Kẹp cáp 3 boulon</v>
      </c>
      <c r="F592" s="338" t="str">
        <f>VLOOKUP($B592,DG!A:D,DG!$D$2,)</f>
        <v>cái</v>
      </c>
      <c r="G592" s="359">
        <v>16</v>
      </c>
      <c r="H592" s="360">
        <f t="shared" si="34"/>
        <v>0</v>
      </c>
      <c r="I592" s="360"/>
      <c r="J592" s="360"/>
      <c r="K592" s="360"/>
      <c r="L592" s="360"/>
      <c r="M592" s="332"/>
      <c r="N592" s="340"/>
      <c r="O592" s="341"/>
    </row>
    <row r="593" spans="1:15" ht="16.2" outlineLevel="1">
      <c r="A593" s="288"/>
      <c r="B593" s="351" t="s">
        <v>848</v>
      </c>
      <c r="C593" s="388" t="str">
        <f>IF(OR(I593&lt;&gt;0,H593&lt;&gt;0),"x"," ")</f>
        <v xml:space="preserve"> </v>
      </c>
      <c r="D593" s="338"/>
      <c r="E593" s="358" t="str">
        <f>VLOOKUP($B593,DG!A:D,DG!$C$2,)</f>
        <v>Cáp thép 5/8"</v>
      </c>
      <c r="F593" s="338" t="str">
        <f>VLOOKUP($B593,DG!A:D,DG!$D$2,)</f>
        <v>kg</v>
      </c>
      <c r="G593" s="359">
        <v>35</v>
      </c>
      <c r="H593" s="360">
        <f t="shared" si="34"/>
        <v>0</v>
      </c>
      <c r="I593" s="360"/>
      <c r="J593" s="360"/>
      <c r="K593" s="360"/>
      <c r="L593" s="360"/>
      <c r="M593" s="332"/>
      <c r="N593" s="340"/>
      <c r="O593" s="341"/>
    </row>
    <row r="594" spans="1:15" ht="16.2" outlineLevel="1">
      <c r="A594" s="288"/>
      <c r="B594" s="351" t="s">
        <v>824</v>
      </c>
      <c r="C594" s="388" t="str">
        <f>IF(OR(I594&lt;&gt;0,H594&lt;&gt;0),"x"," ")</f>
        <v xml:space="preserve"> </v>
      </c>
      <c r="D594" s="338"/>
      <c r="E594" s="358" t="str">
        <f>VLOOKUP($B594,DG!A:D,DG!$C$2,)</f>
        <v>Yếm cáp dày 2mm</v>
      </c>
      <c r="F594" s="338" t="str">
        <f>VLOOKUP($B594,DG!A:D,DG!$D$2,)</f>
        <v>cái</v>
      </c>
      <c r="G594" s="359">
        <v>4</v>
      </c>
      <c r="H594" s="360">
        <f t="shared" si="34"/>
        <v>0</v>
      </c>
      <c r="I594" s="360"/>
      <c r="J594" s="360"/>
      <c r="K594" s="360"/>
      <c r="L594" s="360"/>
      <c r="M594" s="332"/>
      <c r="N594" s="340"/>
      <c r="O594" s="341"/>
    </row>
    <row r="595" spans="1:15" ht="16.2" outlineLevel="1">
      <c r="A595" s="288"/>
      <c r="B595" s="351" t="s">
        <v>825</v>
      </c>
      <c r="C595" s="388" t="str">
        <f>IF(OR(I595&lt;&gt;0,H595&lt;&gt;0),"x"," ")</f>
        <v xml:space="preserve"> </v>
      </c>
      <c r="D595" s="338"/>
      <c r="E595" s="358" t="str">
        <f>VLOOKUP($B595,DG!A:D,DG!$C$2,)</f>
        <v>Máng che dây chằng dày 1,6mm</v>
      </c>
      <c r="F595" s="338" t="str">
        <f>VLOOKUP($B595,DG!A:D,DG!$D$2,)</f>
        <v>cái</v>
      </c>
      <c r="G595" s="359">
        <v>2</v>
      </c>
      <c r="H595" s="360">
        <f t="shared" si="34"/>
        <v>0</v>
      </c>
      <c r="I595" s="360"/>
      <c r="J595" s="360"/>
      <c r="K595" s="360"/>
      <c r="L595" s="360"/>
      <c r="M595" s="332"/>
      <c r="N595" s="340"/>
      <c r="O595" s="341"/>
    </row>
    <row r="596" spans="1:15" ht="16.2" outlineLevel="1">
      <c r="A596" s="288"/>
      <c r="B596" s="351" t="s">
        <v>826</v>
      </c>
      <c r="C596" s="388" t="str">
        <f>IF(OR(I596&lt;&gt;0,H596&lt;&gt;0),"x"," ")</f>
        <v xml:space="preserve"> </v>
      </c>
      <c r="D596" s="338" t="str">
        <f>VLOOKUP($B596,DG!A:D,DG!$B$2,)</f>
        <v>06.3241</v>
      </c>
      <c r="E596" s="366" t="str">
        <f>VLOOKUP($B596,DG!A:D,DG!$C$2,)</f>
        <v>Lắp bộ dây néo</v>
      </c>
      <c r="F596" s="338" t="str">
        <f>VLOOKUP($B596,DG!A:D,DG!$D$2,)</f>
        <v>bộ</v>
      </c>
      <c r="G596" s="359">
        <v>2</v>
      </c>
      <c r="H596" s="354"/>
      <c r="I596" s="354"/>
      <c r="J596" s="354"/>
      <c r="K596" s="354"/>
      <c r="L596" s="354"/>
      <c r="M596" s="332"/>
      <c r="N596" s="340"/>
      <c r="O596" s="341"/>
    </row>
    <row r="597" spans="1:15" ht="16.2" outlineLevel="1">
      <c r="A597" s="288"/>
      <c r="B597" s="356" t="s">
        <v>827</v>
      </c>
      <c r="C597" s="388" t="str">
        <f>IF(OR(I597&lt;&gt;0,H597&lt;&gt;0),"x"," ")</f>
        <v xml:space="preserve"> </v>
      </c>
      <c r="D597" s="338" t="str">
        <f>VLOOKUP($B597,DG!A:C,2,)</f>
        <v>02.1421</v>
      </c>
      <c r="E597" s="366" t="str">
        <f>VLOOKUP($B597,DG!A:C,3,)</f>
        <v>V/c phụ kiện vào vị trí (cự ly &lt;=100m)</v>
      </c>
      <c r="F597" s="338" t="str">
        <f>VLOOKUP($B597,DG!A:D,4,0)</f>
        <v>tấn</v>
      </c>
      <c r="G597" s="357">
        <v>0.02</v>
      </c>
      <c r="H597" s="354"/>
      <c r="I597" s="354"/>
      <c r="J597" s="354"/>
      <c r="K597" s="354"/>
      <c r="L597" s="354"/>
      <c r="M597" s="332"/>
      <c r="N597" s="340"/>
      <c r="O597" s="341"/>
    </row>
    <row r="598" spans="1:15" ht="16.2" outlineLevel="1">
      <c r="A598" s="342" t="s">
        <v>856</v>
      </c>
      <c r="B598" s="373" t="s">
        <v>856</v>
      </c>
      <c r="C598" s="388" t="str">
        <f>IF(OR(I598&lt;&gt;0,H598&lt;&gt;0),"x"," ")</f>
        <v xml:space="preserve"> </v>
      </c>
      <c r="D598" s="345"/>
      <c r="E598" s="346" t="s">
        <v>857</v>
      </c>
      <c r="F598" s="347" t="s">
        <v>285</v>
      </c>
      <c r="G598" s="348"/>
      <c r="H598" s="349">
        <f>IFERROR(HLOOKUP(B598,'BKT-ThuHoi'!$5:$183,179,0),0)</f>
        <v>0</v>
      </c>
      <c r="I598" s="399">
        <f>H598+J598-K598</f>
        <v>0</v>
      </c>
      <c r="J598" s="350"/>
      <c r="K598" s="350"/>
      <c r="L598" s="350"/>
      <c r="M598" s="332"/>
      <c r="N598" s="340"/>
      <c r="O598" s="341"/>
    </row>
    <row r="599" spans="1:15" ht="16.2" outlineLevel="1">
      <c r="A599" s="288"/>
      <c r="B599" s="351" t="s">
        <v>820</v>
      </c>
      <c r="C599" s="388" t="str">
        <f>IF(OR(I599&lt;&gt;0,H599&lt;&gt;0),"x"," ")</f>
        <v xml:space="preserve"> </v>
      </c>
      <c r="D599" s="338"/>
      <c r="E599" s="358" t="str">
        <f>VLOOKUP($B599,DG!A:D,DG!$C$2,)</f>
        <v>Boulon mắt 16x250</v>
      </c>
      <c r="F599" s="338" t="str">
        <f>VLOOKUP($B599,DG!A:D,DG!$D$2,)</f>
        <v>bộ</v>
      </c>
      <c r="G599" s="359">
        <v>1</v>
      </c>
      <c r="H599" s="360">
        <f t="shared" ref="H599:H604" si="35">H$598*$G599</f>
        <v>0</v>
      </c>
      <c r="I599" s="360">
        <f t="shared" ref="I599:J604" si="36">I$598*$G599</f>
        <v>0</v>
      </c>
      <c r="J599" s="360">
        <f t="shared" si="36"/>
        <v>0</v>
      </c>
      <c r="K599" s="360"/>
      <c r="L599" s="360"/>
      <c r="M599" s="332"/>
      <c r="N599" s="340"/>
      <c r="O599" s="341"/>
    </row>
    <row r="600" spans="1:15" ht="16.2" outlineLevel="1">
      <c r="A600" s="288"/>
      <c r="B600" s="351" t="s">
        <v>821</v>
      </c>
      <c r="C600" s="388" t="str">
        <f>IF(OR(I600&lt;&gt;0,H600&lt;&gt;0),"x"," ")</f>
        <v xml:space="preserve"> </v>
      </c>
      <c r="D600" s="338"/>
      <c r="E600" s="358" t="str">
        <f>VLOOKUP($B600,DG!A:D,DG!$C$2,)</f>
        <v>Sứ chằng</v>
      </c>
      <c r="F600" s="338" t="str">
        <f>VLOOKUP($B600,DG!A:D,DG!$D$2,)</f>
        <v>cái</v>
      </c>
      <c r="G600" s="359">
        <v>1</v>
      </c>
      <c r="H600" s="360">
        <f>H$598*$G600</f>
        <v>0</v>
      </c>
      <c r="I600" s="360">
        <f t="shared" si="36"/>
        <v>0</v>
      </c>
      <c r="J600" s="360">
        <f t="shared" si="36"/>
        <v>0</v>
      </c>
      <c r="K600" s="360"/>
      <c r="L600" s="360"/>
      <c r="M600" s="332"/>
      <c r="N600" s="340"/>
      <c r="O600" s="341"/>
    </row>
    <row r="601" spans="1:15" ht="16.2" outlineLevel="1">
      <c r="A601" s="288"/>
      <c r="B601" s="351" t="s">
        <v>822</v>
      </c>
      <c r="C601" s="388" t="str">
        <f>IF(OR(I601&lt;&gt;0,H601&lt;&gt;0),"x"," ")</f>
        <v xml:space="preserve"> </v>
      </c>
      <c r="D601" s="338"/>
      <c r="E601" s="358" t="str">
        <f>VLOOKUP($B601,DG!A:D,DG!$C$2,)</f>
        <v>Kẹp cáp 3 boulon</v>
      </c>
      <c r="F601" s="338" t="str">
        <f>VLOOKUP($B601,DG!A:D,DG!$D$2,)</f>
        <v>cái</v>
      </c>
      <c r="G601" s="359">
        <v>8</v>
      </c>
      <c r="H601" s="360">
        <f t="shared" si="35"/>
        <v>0</v>
      </c>
      <c r="I601" s="360">
        <f t="shared" si="36"/>
        <v>0</v>
      </c>
      <c r="J601" s="360">
        <f t="shared" si="36"/>
        <v>0</v>
      </c>
      <c r="K601" s="360"/>
      <c r="L601" s="360"/>
      <c r="M601" s="332"/>
      <c r="N601" s="340"/>
      <c r="O601" s="341"/>
    </row>
    <row r="602" spans="1:15" ht="16.2" outlineLevel="1">
      <c r="A602" s="288"/>
      <c r="B602" s="351" t="s">
        <v>848</v>
      </c>
      <c r="C602" s="388" t="str">
        <f>IF(OR(I602&lt;&gt;0,H602&lt;&gt;0),"x"," ")</f>
        <v xml:space="preserve"> </v>
      </c>
      <c r="D602" s="338"/>
      <c r="E602" s="358" t="str">
        <f>VLOOKUP($B602,DG!A:D,DG!$C$2,)</f>
        <v>Cáp thép 5/8"</v>
      </c>
      <c r="F602" s="402">
        <f>N602</f>
        <v>0</v>
      </c>
      <c r="G602" s="385">
        <f>O602</f>
        <v>0</v>
      </c>
      <c r="H602" s="360">
        <f t="shared" si="35"/>
        <v>0</v>
      </c>
      <c r="I602" s="360">
        <f t="shared" si="36"/>
        <v>0</v>
      </c>
      <c r="J602" s="360">
        <f t="shared" si="36"/>
        <v>0</v>
      </c>
      <c r="K602" s="360"/>
      <c r="L602" s="360"/>
      <c r="M602" s="332"/>
      <c r="N602" s="340"/>
      <c r="O602" s="341"/>
    </row>
    <row r="603" spans="1:15" ht="16.2" outlineLevel="1">
      <c r="A603" s="288"/>
      <c r="B603" s="351" t="s">
        <v>824</v>
      </c>
      <c r="C603" s="388" t="str">
        <f>IF(OR(I603&lt;&gt;0,H603&lt;&gt;0),"x"," ")</f>
        <v xml:space="preserve"> </v>
      </c>
      <c r="D603" s="338"/>
      <c r="E603" s="358" t="str">
        <f>VLOOKUP($B603,DG!A:D,DG!$C$2,)</f>
        <v>Yếm cáp dày 2mm</v>
      </c>
      <c r="F603" s="338" t="str">
        <f>VLOOKUP($B603,DG!A:D,DG!$D$2,)</f>
        <v>cái</v>
      </c>
      <c r="G603" s="359">
        <v>2</v>
      </c>
      <c r="H603" s="360">
        <f t="shared" si="35"/>
        <v>0</v>
      </c>
      <c r="I603" s="360">
        <f t="shared" si="36"/>
        <v>0</v>
      </c>
      <c r="J603" s="360">
        <f t="shared" si="36"/>
        <v>0</v>
      </c>
      <c r="K603" s="360"/>
      <c r="L603" s="360"/>
      <c r="M603" s="332"/>
      <c r="N603" s="340"/>
      <c r="O603" s="341"/>
    </row>
    <row r="604" spans="1:15" ht="16.2" outlineLevel="1">
      <c r="A604" s="288"/>
      <c r="B604" s="351" t="s">
        <v>825</v>
      </c>
      <c r="C604" s="388" t="str">
        <f>IF(OR(I604&lt;&gt;0,H604&lt;&gt;0),"x"," ")</f>
        <v xml:space="preserve"> </v>
      </c>
      <c r="D604" s="338"/>
      <c r="E604" s="358" t="str">
        <f>VLOOKUP($B604,DG!A:D,DG!$C$2,)</f>
        <v>Máng che dây chằng dày 1,6mm</v>
      </c>
      <c r="F604" s="338" t="str">
        <f>VLOOKUP($B604,DG!A:D,DG!$D$2,)</f>
        <v>cái</v>
      </c>
      <c r="G604" s="359">
        <v>1</v>
      </c>
      <c r="H604" s="360">
        <f t="shared" si="35"/>
        <v>0</v>
      </c>
      <c r="I604" s="360">
        <f t="shared" si="36"/>
        <v>0</v>
      </c>
      <c r="J604" s="360">
        <f t="shared" si="36"/>
        <v>0</v>
      </c>
      <c r="K604" s="360"/>
      <c r="L604" s="360"/>
      <c r="M604" s="332"/>
      <c r="N604" s="340"/>
      <c r="O604" s="341"/>
    </row>
    <row r="605" spans="1:15" ht="16.2" outlineLevel="1">
      <c r="A605" s="288"/>
      <c r="B605" s="351" t="s">
        <v>826</v>
      </c>
      <c r="C605" s="388" t="str">
        <f>IF(OR(I605&lt;&gt;0,H605&lt;&gt;0),"x"," ")</f>
        <v xml:space="preserve"> </v>
      </c>
      <c r="D605" s="338" t="str">
        <f>VLOOKUP($B605,DG!A:D,DG!$B$2,)</f>
        <v>06.3241</v>
      </c>
      <c r="E605" s="366" t="str">
        <f>VLOOKUP($B605,DG!A:D,DG!$C$2,)</f>
        <v>Lắp bộ dây néo</v>
      </c>
      <c r="F605" s="338" t="str">
        <f>VLOOKUP($B605,DG!A:D,DG!$D$2,)</f>
        <v>bộ</v>
      </c>
      <c r="G605" s="359">
        <f>G599</f>
        <v>1</v>
      </c>
      <c r="H605" s="354"/>
      <c r="I605" s="354"/>
      <c r="J605" s="354"/>
      <c r="K605" s="354"/>
      <c r="L605" s="354"/>
      <c r="M605" s="332"/>
      <c r="N605" s="340"/>
      <c r="O605" s="341"/>
    </row>
    <row r="606" spans="1:15" ht="16.2" outlineLevel="1">
      <c r="A606" s="288"/>
      <c r="B606" s="356" t="s">
        <v>827</v>
      </c>
      <c r="C606" s="388" t="str">
        <f>IF(OR(I606&lt;&gt;0,H606&lt;&gt;0),"x"," ")</f>
        <v xml:space="preserve"> </v>
      </c>
      <c r="D606" s="338" t="str">
        <f>VLOOKUP($B606,DG!A:C,2,)</f>
        <v>02.1421</v>
      </c>
      <c r="E606" s="366" t="str">
        <f>VLOOKUP($B606,DG!A:C,3,)</f>
        <v>V/c phụ kiện vào vị trí (cự ly &lt;=100m)</v>
      </c>
      <c r="F606" s="338" t="str">
        <f>VLOOKUP($B606,DG!A:D,4,0)</f>
        <v>tấn</v>
      </c>
      <c r="G606" s="357"/>
      <c r="H606" s="354"/>
      <c r="I606" s="354"/>
      <c r="J606" s="354"/>
      <c r="K606" s="354"/>
      <c r="L606" s="354"/>
      <c r="M606" s="332"/>
      <c r="N606" s="340"/>
      <c r="O606" s="341"/>
    </row>
    <row r="607" spans="1:15" ht="16.2" outlineLevel="1">
      <c r="A607" s="342" t="s">
        <v>858</v>
      </c>
      <c r="B607" s="343" t="s">
        <v>858</v>
      </c>
      <c r="C607" s="388" t="str">
        <f>IF(OR(I607&lt;&gt;0,H607&lt;&gt;0),"x"," ")</f>
        <v xml:space="preserve"> </v>
      </c>
      <c r="D607" s="345"/>
      <c r="E607" s="346" t="s">
        <v>859</v>
      </c>
      <c r="F607" s="347" t="s">
        <v>285</v>
      </c>
      <c r="G607" s="348"/>
      <c r="H607" s="349">
        <f>IFERROR(HLOOKUP(B607,'BKT-ThuHoi'!$5:$183,179,0),0)</f>
        <v>0</v>
      </c>
      <c r="I607" s="350">
        <f>H607+J607-K607</f>
        <v>0</v>
      </c>
      <c r="J607" s="350"/>
      <c r="K607" s="350"/>
      <c r="L607" s="350"/>
      <c r="M607" s="332"/>
      <c r="N607" s="340"/>
      <c r="O607" s="341"/>
    </row>
    <row r="608" spans="1:15" ht="16.2" outlineLevel="1">
      <c r="A608" s="288"/>
      <c r="B608" s="351" t="s">
        <v>820</v>
      </c>
      <c r="C608" s="388" t="str">
        <f>IF(OR(I608&lt;&gt;0,H608&lt;&gt;0),"x"," ")</f>
        <v xml:space="preserve"> </v>
      </c>
      <c r="D608" s="338"/>
      <c r="E608" s="358" t="str">
        <f>VLOOKUP($B608,DG!A:D,DG!$C$2,)</f>
        <v>Boulon mắt 16x250</v>
      </c>
      <c r="F608" s="338" t="str">
        <f>VLOOKUP($B608,DG!A:D,DG!$D$2,)</f>
        <v>bộ</v>
      </c>
      <c r="G608" s="359">
        <v>1</v>
      </c>
      <c r="H608" s="360">
        <f t="shared" ref="H608:H612" si="37">H$607*$G608</f>
        <v>0</v>
      </c>
      <c r="I608" s="360"/>
      <c r="J608" s="360"/>
      <c r="K608" s="360"/>
      <c r="L608" s="360"/>
      <c r="M608" s="332"/>
      <c r="N608" s="340"/>
      <c r="O608" s="341"/>
    </row>
    <row r="609" spans="1:15" ht="16.2" outlineLevel="1">
      <c r="A609" s="288"/>
      <c r="B609" s="351" t="s">
        <v>821</v>
      </c>
      <c r="C609" s="388" t="str">
        <f>IF(OR(I609&lt;&gt;0,H609&lt;&gt;0),"x"," ")</f>
        <v xml:space="preserve"> </v>
      </c>
      <c r="D609" s="338"/>
      <c r="E609" s="358" t="str">
        <f>VLOOKUP($B609,DG!A:D,DG!$C$2,)</f>
        <v>Sứ chằng</v>
      </c>
      <c r="F609" s="338" t="str">
        <f>VLOOKUP($B609,DG!A:D,DG!$D$2,)</f>
        <v>cái</v>
      </c>
      <c r="G609" s="359">
        <v>1</v>
      </c>
      <c r="H609" s="360">
        <f t="shared" si="37"/>
        <v>0</v>
      </c>
      <c r="I609" s="360"/>
      <c r="J609" s="360"/>
      <c r="K609" s="360"/>
      <c r="L609" s="360"/>
      <c r="M609" s="332"/>
      <c r="N609" s="340"/>
      <c r="O609" s="341"/>
    </row>
    <row r="610" spans="1:15" ht="16.2" outlineLevel="1">
      <c r="A610" s="288"/>
      <c r="B610" s="351" t="s">
        <v>822</v>
      </c>
      <c r="C610" s="388" t="str">
        <f>IF(OR(I610&lt;&gt;0,H610&lt;&gt;0),"x"," ")</f>
        <v xml:space="preserve"> </v>
      </c>
      <c r="D610" s="338"/>
      <c r="E610" s="358" t="str">
        <f>VLOOKUP($B610,DG!A:D,DG!$C$2,)</f>
        <v>Kẹp cáp 3 boulon</v>
      </c>
      <c r="F610" s="338" t="str">
        <f>VLOOKUP($B610,DG!A:D,DG!$D$2,)</f>
        <v>cái</v>
      </c>
      <c r="G610" s="359">
        <v>8</v>
      </c>
      <c r="H610" s="360">
        <f t="shared" si="37"/>
        <v>0</v>
      </c>
      <c r="I610" s="360"/>
      <c r="J610" s="360"/>
      <c r="K610" s="360"/>
      <c r="L610" s="360"/>
      <c r="M610" s="332"/>
      <c r="N610" s="340"/>
      <c r="O610" s="341"/>
    </row>
    <row r="611" spans="1:15" ht="16.2" outlineLevel="1">
      <c r="A611" s="288"/>
      <c r="B611" s="351" t="s">
        <v>823</v>
      </c>
      <c r="C611" s="388" t="str">
        <f>IF(OR(I611&lt;&gt;0,H611&lt;&gt;0),"x"," ")</f>
        <v xml:space="preserve"> </v>
      </c>
      <c r="D611" s="338"/>
      <c r="E611" s="358" t="str">
        <f>VLOOKUP($B611,DG!A:D,DG!$C$2,)</f>
        <v>Cáp thép 3/8"</v>
      </c>
      <c r="F611" s="338" t="str">
        <f>VLOOKUP($B611,DG!A:D,DG!$D$2,)</f>
        <v>kg</v>
      </c>
      <c r="G611" s="359">
        <v>15</v>
      </c>
      <c r="H611" s="360">
        <f t="shared" si="37"/>
        <v>0</v>
      </c>
      <c r="I611" s="360"/>
      <c r="J611" s="360"/>
      <c r="K611" s="360"/>
      <c r="L611" s="360"/>
      <c r="M611" s="332"/>
      <c r="N611" s="340"/>
      <c r="O611" s="341"/>
    </row>
    <row r="612" spans="1:15" ht="16.2" outlineLevel="1">
      <c r="A612" s="288"/>
      <c r="B612" s="351" t="s">
        <v>841</v>
      </c>
      <c r="C612" s="388" t="str">
        <f>IF(OR(I612&lt;&gt;0,H612&lt;&gt;0),"x"," ")</f>
        <v xml:space="preserve"> </v>
      </c>
      <c r="D612" s="338"/>
      <c r="E612" s="358" t="str">
        <f>VLOOKUP($B612,DG!A:D,DG!$C$2,)</f>
        <v>Bộ chống chằng hẹp Ø60/50x1500+2BL12x40+BL16x250/80</v>
      </c>
      <c r="F612" s="338" t="str">
        <f>VLOOKUP($B612,DG!A:D,DG!$D$2,)</f>
        <v>bộ</v>
      </c>
      <c r="G612" s="359">
        <v>1</v>
      </c>
      <c r="H612" s="360">
        <f t="shared" si="37"/>
        <v>0</v>
      </c>
      <c r="I612" s="360"/>
      <c r="J612" s="360"/>
      <c r="K612" s="360"/>
      <c r="L612" s="360"/>
      <c r="M612" s="332"/>
      <c r="N612" s="340"/>
      <c r="O612" s="341"/>
    </row>
    <row r="613" spans="1:15" ht="16.2" outlineLevel="1">
      <c r="A613" s="288"/>
      <c r="B613" s="351" t="s">
        <v>824</v>
      </c>
      <c r="C613" s="388" t="str">
        <f>IF(OR(I613&lt;&gt;0,H613&lt;&gt;0),"x"," ")</f>
        <v xml:space="preserve"> </v>
      </c>
      <c r="D613" s="338"/>
      <c r="E613" s="358" t="str">
        <f>VLOOKUP($B613,DG!A:D,DG!$C$2,)</f>
        <v>Yếm cáp dày 2mm</v>
      </c>
      <c r="F613" s="338" t="str">
        <f>VLOOKUP($B613,DG!A:D,DG!$D$2,)</f>
        <v>cái</v>
      </c>
      <c r="G613" s="359">
        <v>2</v>
      </c>
      <c r="H613" s="360">
        <f>H$607*$G613</f>
        <v>0</v>
      </c>
      <c r="I613" s="360"/>
      <c r="J613" s="360"/>
      <c r="K613" s="360"/>
      <c r="L613" s="360"/>
      <c r="M613" s="332"/>
      <c r="N613" s="340"/>
      <c r="O613" s="341"/>
    </row>
    <row r="614" spans="1:15" ht="16.2" outlineLevel="1">
      <c r="A614" s="288"/>
      <c r="B614" s="351" t="s">
        <v>825</v>
      </c>
      <c r="C614" s="388" t="str">
        <f>IF(OR(I614&lt;&gt;0,H614&lt;&gt;0),"x"," ")</f>
        <v xml:space="preserve"> </v>
      </c>
      <c r="D614" s="338"/>
      <c r="E614" s="358" t="str">
        <f>VLOOKUP($B614,DG!A:D,DG!$C$2,)</f>
        <v>Máng che dây chằng dày 1,6mm</v>
      </c>
      <c r="F614" s="338" t="str">
        <f>VLOOKUP($B614,DG!A:D,DG!$D$2,)</f>
        <v>cái</v>
      </c>
      <c r="G614" s="359">
        <v>1</v>
      </c>
      <c r="H614" s="360">
        <f>H$607*$G614</f>
        <v>0</v>
      </c>
      <c r="I614" s="360"/>
      <c r="J614" s="360"/>
      <c r="K614" s="360"/>
      <c r="L614" s="360"/>
      <c r="M614" s="332"/>
      <c r="N614" s="340"/>
      <c r="O614" s="341"/>
    </row>
    <row r="615" spans="1:15" ht="16.2" outlineLevel="1">
      <c r="A615" s="288"/>
      <c r="B615" s="351" t="s">
        <v>826</v>
      </c>
      <c r="C615" s="388" t="str">
        <f>IF(OR(I615&lt;&gt;0,H615&lt;&gt;0),"x"," ")</f>
        <v xml:space="preserve"> </v>
      </c>
      <c r="D615" s="338" t="str">
        <f>VLOOKUP($B615,DG!A:D,DG!$B$2,)</f>
        <v>06.3241</v>
      </c>
      <c r="E615" s="366" t="str">
        <f>VLOOKUP($B615,DG!A:D,DG!$C$2,)</f>
        <v>Lắp bộ dây néo</v>
      </c>
      <c r="F615" s="338" t="str">
        <f>VLOOKUP($B615,DG!A:D,DG!$D$2,)</f>
        <v>bộ</v>
      </c>
      <c r="G615" s="359">
        <v>1</v>
      </c>
      <c r="H615" s="354"/>
      <c r="I615" s="354"/>
      <c r="J615" s="354"/>
      <c r="K615" s="354"/>
      <c r="L615" s="354"/>
      <c r="M615" s="332"/>
      <c r="N615" s="340"/>
      <c r="O615" s="341"/>
    </row>
    <row r="616" spans="1:15" ht="16.2" outlineLevel="1">
      <c r="A616" s="288"/>
      <c r="B616" s="351" t="s">
        <v>831</v>
      </c>
      <c r="C616" s="388" t="str">
        <f>IF(OR(I616&lt;&gt;0,H616&lt;&gt;0),"x"," ")</f>
        <v xml:space="preserve"> </v>
      </c>
      <c r="D616" s="338" t="str">
        <f>VLOOKUP($B616,DG!A:D,DG!$B$2,)</f>
        <v>05.6011</v>
      </c>
      <c r="E616" s="366" t="str">
        <f>VLOOKUP($B616,DG!A:D,DG!$C$2,)</f>
        <v>Lắp bộ chống lệch</v>
      </c>
      <c r="F616" s="338" t="str">
        <f>VLOOKUP($B616,DG!A:D,DG!$D$2,)</f>
        <v>bộ</v>
      </c>
      <c r="G616" s="359">
        <v>1</v>
      </c>
      <c r="H616" s="354"/>
      <c r="I616" s="354"/>
      <c r="J616" s="354"/>
      <c r="K616" s="354"/>
      <c r="L616" s="354"/>
      <c r="M616" s="332"/>
      <c r="N616" s="340"/>
      <c r="O616" s="341"/>
    </row>
    <row r="617" spans="1:15" ht="16.2" outlineLevel="1">
      <c r="A617" s="288"/>
      <c r="B617" s="356" t="s">
        <v>827</v>
      </c>
      <c r="C617" s="388" t="str">
        <f>IF(OR(I617&lt;&gt;0,H617&lt;&gt;0),"x"," ")</f>
        <v xml:space="preserve"> </v>
      </c>
      <c r="D617" s="338" t="str">
        <f>VLOOKUP($B617,DG!A:C,2,)</f>
        <v>02.1421</v>
      </c>
      <c r="E617" s="366" t="str">
        <f>VLOOKUP($B617,DG!A:C,3,)</f>
        <v>V/c phụ kiện vào vị trí (cự ly &lt;=100m)</v>
      </c>
      <c r="F617" s="338" t="str">
        <f>VLOOKUP($B617,DG!A:D,4,0)</f>
        <v>tấn</v>
      </c>
      <c r="G617" s="357">
        <v>0.02</v>
      </c>
      <c r="H617" s="354"/>
      <c r="I617" s="354"/>
      <c r="J617" s="354"/>
      <c r="K617" s="354"/>
      <c r="L617" s="354"/>
      <c r="M617" s="332"/>
      <c r="N617" s="340"/>
      <c r="O617" s="341"/>
    </row>
    <row r="618" spans="1:15" ht="16.2" outlineLevel="1">
      <c r="A618" s="342" t="s">
        <v>860</v>
      </c>
      <c r="B618" s="373" t="s">
        <v>860</v>
      </c>
      <c r="C618" s="388" t="str">
        <f>IF(OR(I618&lt;&gt;0,H618&lt;&gt;0),"x"," ")</f>
        <v xml:space="preserve"> </v>
      </c>
      <c r="D618" s="345"/>
      <c r="E618" s="346" t="s">
        <v>861</v>
      </c>
      <c r="F618" s="347" t="s">
        <v>285</v>
      </c>
      <c r="G618" s="348"/>
      <c r="H618" s="349">
        <f>IFERROR(HLOOKUP(B618,'BKT-ThuHoi'!$5:$183,179,0),0)</f>
        <v>0</v>
      </c>
      <c r="I618" s="399">
        <f>H618+J618-K618</f>
        <v>0</v>
      </c>
      <c r="J618" s="350"/>
      <c r="K618" s="350"/>
      <c r="L618" s="350"/>
      <c r="M618" s="332"/>
      <c r="N618" s="340"/>
      <c r="O618" s="341"/>
    </row>
    <row r="619" spans="1:15" ht="16.2" outlineLevel="1">
      <c r="A619" s="288"/>
      <c r="B619" s="351" t="s">
        <v>820</v>
      </c>
      <c r="C619" s="388" t="str">
        <f>IF(OR(I619&lt;&gt;0,H619&lt;&gt;0),"x"," ")</f>
        <v xml:space="preserve"> </v>
      </c>
      <c r="D619" s="338"/>
      <c r="E619" s="358" t="str">
        <f>VLOOKUP($B619,DG!A:D,DG!$C$2,)</f>
        <v>Boulon mắt 16x250</v>
      </c>
      <c r="F619" s="338" t="str">
        <f>VLOOKUP($B619,DG!A:D,DG!$D$2,)</f>
        <v>bộ</v>
      </c>
      <c r="G619" s="359">
        <v>2</v>
      </c>
      <c r="H619" s="360">
        <f t="shared" ref="H619:H624" si="38">H$618*$G619</f>
        <v>0</v>
      </c>
      <c r="I619" s="360">
        <f t="shared" ref="I619:J624" si="39">I$618*$G619</f>
        <v>0</v>
      </c>
      <c r="J619" s="360">
        <f t="shared" si="39"/>
        <v>0</v>
      </c>
      <c r="K619" s="360"/>
      <c r="L619" s="360"/>
      <c r="M619" s="332"/>
      <c r="N619" s="340"/>
      <c r="O619" s="341"/>
    </row>
    <row r="620" spans="1:15" ht="16.2" outlineLevel="1">
      <c r="A620" s="288"/>
      <c r="B620" s="351" t="s">
        <v>821</v>
      </c>
      <c r="C620" s="388" t="str">
        <f>IF(OR(I620&lt;&gt;0,H620&lt;&gt;0),"x"," ")</f>
        <v xml:space="preserve"> </v>
      </c>
      <c r="D620" s="338"/>
      <c r="E620" s="358" t="str">
        <f>VLOOKUP($B620,DG!A:D,DG!$C$2,)</f>
        <v>Sứ chằng</v>
      </c>
      <c r="F620" s="338" t="str">
        <f>VLOOKUP($B620,DG!A:D,DG!$D$2,)</f>
        <v>cái</v>
      </c>
      <c r="G620" s="359">
        <v>2</v>
      </c>
      <c r="H620" s="360">
        <f t="shared" si="38"/>
        <v>0</v>
      </c>
      <c r="I620" s="360">
        <f t="shared" si="39"/>
        <v>0</v>
      </c>
      <c r="J620" s="360">
        <f t="shared" si="39"/>
        <v>0</v>
      </c>
      <c r="K620" s="360"/>
      <c r="L620" s="360"/>
      <c r="M620" s="332"/>
      <c r="N620" s="340"/>
      <c r="O620" s="341"/>
    </row>
    <row r="621" spans="1:15" ht="16.2" outlineLevel="1">
      <c r="A621" s="288"/>
      <c r="B621" s="351" t="s">
        <v>822</v>
      </c>
      <c r="C621" s="388" t="str">
        <f>IF(OR(I621&lt;&gt;0,H621&lt;&gt;0),"x"," ")</f>
        <v xml:space="preserve"> </v>
      </c>
      <c r="D621" s="338"/>
      <c r="E621" s="358" t="str">
        <f>VLOOKUP($B621,DG!A:D,DG!$C$2,)</f>
        <v>Kẹp cáp 3 boulon</v>
      </c>
      <c r="F621" s="338" t="str">
        <f>VLOOKUP($B621,DG!A:D,DG!$D$2,)</f>
        <v>cái</v>
      </c>
      <c r="G621" s="359">
        <v>16</v>
      </c>
      <c r="H621" s="360">
        <f>H$618*$G621</f>
        <v>0</v>
      </c>
      <c r="I621" s="360">
        <f t="shared" si="39"/>
        <v>0</v>
      </c>
      <c r="J621" s="360">
        <f t="shared" si="39"/>
        <v>0</v>
      </c>
      <c r="K621" s="360"/>
      <c r="L621" s="360"/>
      <c r="M621" s="332"/>
      <c r="N621" s="340"/>
      <c r="O621" s="341"/>
    </row>
    <row r="622" spans="1:15" ht="16.2" outlineLevel="1">
      <c r="A622" s="288"/>
      <c r="B622" s="351" t="s">
        <v>848</v>
      </c>
      <c r="C622" s="388" t="str">
        <f>IF(OR(I622&lt;&gt;0,H622&lt;&gt;0),"x"," ")</f>
        <v xml:space="preserve"> </v>
      </c>
      <c r="D622" s="338"/>
      <c r="E622" s="358" t="str">
        <f>VLOOKUP($B622,DG!A:D,DG!$C$2,)</f>
        <v>Cáp thép 5/8"</v>
      </c>
      <c r="F622" s="402">
        <f>N622</f>
        <v>0</v>
      </c>
      <c r="G622" s="385">
        <f>O622</f>
        <v>0</v>
      </c>
      <c r="H622" s="360">
        <f t="shared" si="38"/>
        <v>0</v>
      </c>
      <c r="I622" s="360">
        <f t="shared" si="39"/>
        <v>0</v>
      </c>
      <c r="J622" s="360">
        <f t="shared" si="39"/>
        <v>0</v>
      </c>
      <c r="K622" s="360"/>
      <c r="L622" s="360"/>
      <c r="M622" s="332"/>
      <c r="N622" s="340"/>
      <c r="O622" s="341"/>
    </row>
    <row r="623" spans="1:15" ht="16.2" outlineLevel="1">
      <c r="A623" s="288"/>
      <c r="B623" s="351" t="s">
        <v>824</v>
      </c>
      <c r="C623" s="388" t="str">
        <f>IF(OR(I623&lt;&gt;0,H623&lt;&gt;0),"x"," ")</f>
        <v xml:space="preserve"> </v>
      </c>
      <c r="D623" s="338"/>
      <c r="E623" s="358" t="str">
        <f>VLOOKUP($B623,DG!A:D,DG!$C$2,)</f>
        <v>Yếm cáp dày 2mm</v>
      </c>
      <c r="F623" s="338" t="str">
        <f>VLOOKUP($B623,DG!A:D,DG!$D$2,)</f>
        <v>cái</v>
      </c>
      <c r="G623" s="359">
        <v>4</v>
      </c>
      <c r="H623" s="360">
        <f t="shared" si="38"/>
        <v>0</v>
      </c>
      <c r="I623" s="360">
        <f t="shared" si="39"/>
        <v>0</v>
      </c>
      <c r="J623" s="360">
        <f t="shared" si="39"/>
        <v>0</v>
      </c>
      <c r="K623" s="360"/>
      <c r="L623" s="360"/>
      <c r="M623" s="332"/>
      <c r="N623" s="340"/>
      <c r="O623" s="341"/>
    </row>
    <row r="624" spans="1:15" ht="16.2" outlineLevel="1">
      <c r="A624" s="288"/>
      <c r="B624" s="351" t="s">
        <v>825</v>
      </c>
      <c r="C624" s="388" t="str">
        <f>IF(OR(I624&lt;&gt;0,H624&lt;&gt;0),"x"," ")</f>
        <v xml:space="preserve"> </v>
      </c>
      <c r="D624" s="338"/>
      <c r="E624" s="358" t="str">
        <f>VLOOKUP($B624,DG!A:D,DG!$C$2,)</f>
        <v>Máng che dây chằng dày 1,6mm</v>
      </c>
      <c r="F624" s="338" t="str">
        <f>VLOOKUP($B624,DG!A:D,DG!$D$2,)</f>
        <v>cái</v>
      </c>
      <c r="G624" s="359">
        <v>2</v>
      </c>
      <c r="H624" s="360">
        <f t="shared" si="38"/>
        <v>0</v>
      </c>
      <c r="I624" s="360">
        <f t="shared" si="39"/>
        <v>0</v>
      </c>
      <c r="J624" s="360">
        <f t="shared" si="39"/>
        <v>0</v>
      </c>
      <c r="K624" s="360"/>
      <c r="L624" s="360"/>
      <c r="M624" s="332"/>
      <c r="N624" s="340"/>
      <c r="O624" s="341"/>
    </row>
    <row r="625" spans="1:15" ht="16.2" outlineLevel="1">
      <c r="A625" s="288"/>
      <c r="B625" s="351" t="s">
        <v>826</v>
      </c>
      <c r="C625" s="388" t="str">
        <f>IF(OR(I625&lt;&gt;0,H625&lt;&gt;0),"x"," ")</f>
        <v xml:space="preserve"> </v>
      </c>
      <c r="D625" s="338" t="str">
        <f>VLOOKUP($B625,DG!A:D,DG!$B$2,)</f>
        <v>06.3241</v>
      </c>
      <c r="E625" s="366" t="str">
        <f>VLOOKUP($B625,DG!A:D,DG!$C$2,)</f>
        <v>Lắp bộ dây néo</v>
      </c>
      <c r="F625" s="338" t="str">
        <f>VLOOKUP($B625,DG!A:D,DG!$D$2,)</f>
        <v>bộ</v>
      </c>
      <c r="G625" s="359">
        <v>2</v>
      </c>
      <c r="H625" s="354"/>
      <c r="I625" s="354"/>
      <c r="J625" s="354"/>
      <c r="K625" s="354"/>
      <c r="L625" s="354"/>
      <c r="M625" s="332"/>
      <c r="N625" s="340"/>
      <c r="O625" s="341"/>
    </row>
    <row r="626" spans="1:15" ht="16.2" outlineLevel="1">
      <c r="A626" s="288"/>
      <c r="B626" s="356" t="s">
        <v>827</v>
      </c>
      <c r="C626" s="388" t="str">
        <f>IF(OR(I626&lt;&gt;0,H626&lt;&gt;0),"x"," ")</f>
        <v xml:space="preserve"> </v>
      </c>
      <c r="D626" s="338" t="str">
        <f>VLOOKUP($B626,DG!A:C,2,)</f>
        <v>02.1421</v>
      </c>
      <c r="E626" s="366" t="str">
        <f>VLOOKUP($B626,DG!A:C,3,)</f>
        <v>V/c phụ kiện vào vị trí (cự ly &lt;=100m)</v>
      </c>
      <c r="F626" s="338" t="str">
        <f>VLOOKUP($B626,DG!A:D,4,0)</f>
        <v>tấn</v>
      </c>
      <c r="G626" s="357">
        <v>0.02</v>
      </c>
      <c r="H626" s="354"/>
      <c r="I626" s="354"/>
      <c r="J626" s="354"/>
      <c r="K626" s="354"/>
      <c r="L626" s="354"/>
      <c r="M626" s="332"/>
      <c r="N626" s="340"/>
      <c r="O626" s="341"/>
    </row>
    <row r="627" spans="1:15" ht="16.2" outlineLevel="1">
      <c r="A627" s="342" t="s">
        <v>862</v>
      </c>
      <c r="B627" s="373" t="s">
        <v>862</v>
      </c>
      <c r="C627" s="388" t="str">
        <f>IF(OR(I627&lt;&gt;0,H627&lt;&gt;0),"x"," ")</f>
        <v xml:space="preserve"> </v>
      </c>
      <c r="D627" s="345"/>
      <c r="E627" s="346" t="s">
        <v>863</v>
      </c>
      <c r="F627" s="347" t="s">
        <v>285</v>
      </c>
      <c r="G627" s="348"/>
      <c r="H627" s="349">
        <f>IFERROR(HLOOKUP(B627,'BKT-ThuHoi'!$5:$183,179,0),0)</f>
        <v>0</v>
      </c>
      <c r="I627" s="399">
        <f>H627+J627-K627</f>
        <v>0</v>
      </c>
      <c r="J627" s="350"/>
      <c r="K627" s="350"/>
      <c r="L627" s="350"/>
      <c r="M627" s="332"/>
      <c r="N627" s="340"/>
      <c r="O627" s="341"/>
    </row>
    <row r="628" spans="1:15" ht="16.2" outlineLevel="1">
      <c r="A628" s="288"/>
      <c r="B628" s="351" t="s">
        <v>820</v>
      </c>
      <c r="C628" s="388" t="str">
        <f>IF(OR(I628&lt;&gt;0,H628&lt;&gt;0),"x"," ")</f>
        <v xml:space="preserve"> </v>
      </c>
      <c r="D628" s="338"/>
      <c r="E628" s="358" t="str">
        <f>VLOOKUP($B628,DG!A:D,DG!$C$2,)</f>
        <v>Boulon mắt 16x250</v>
      </c>
      <c r="F628" s="338" t="str">
        <f>VLOOKUP($B628,DG!A:D,DG!$D$2,)</f>
        <v>bộ</v>
      </c>
      <c r="G628" s="359">
        <v>2</v>
      </c>
      <c r="H628" s="360">
        <f>H$627*$G628</f>
        <v>0</v>
      </c>
      <c r="I628" s="360">
        <f t="shared" ref="I628:J632" si="40">I$627*$G628</f>
        <v>0</v>
      </c>
      <c r="J628" s="360">
        <f t="shared" si="40"/>
        <v>0</v>
      </c>
      <c r="K628" s="360"/>
      <c r="L628" s="360"/>
      <c r="M628" s="332"/>
      <c r="N628" s="340"/>
      <c r="O628" s="341"/>
    </row>
    <row r="629" spans="1:15" ht="16.2" outlineLevel="1">
      <c r="A629" s="288"/>
      <c r="B629" s="351" t="s">
        <v>821</v>
      </c>
      <c r="C629" s="388" t="str">
        <f>IF(OR(I629&lt;&gt;0,H629&lt;&gt;0),"x"," ")</f>
        <v xml:space="preserve"> </v>
      </c>
      <c r="D629" s="338"/>
      <c r="E629" s="358" t="str">
        <f>VLOOKUP($B629,DG!A:D,DG!$C$2,)</f>
        <v>Sứ chằng</v>
      </c>
      <c r="F629" s="338" t="str">
        <f>VLOOKUP($B629,DG!A:D,DG!$D$2,)</f>
        <v>cái</v>
      </c>
      <c r="G629" s="359">
        <v>2</v>
      </c>
      <c r="H629" s="360">
        <f>H$627*$G629</f>
        <v>0</v>
      </c>
      <c r="I629" s="360">
        <f t="shared" si="40"/>
        <v>0</v>
      </c>
      <c r="J629" s="360">
        <f t="shared" si="40"/>
        <v>0</v>
      </c>
      <c r="K629" s="360"/>
      <c r="L629" s="360"/>
      <c r="M629" s="332"/>
      <c r="N629" s="340"/>
      <c r="O629" s="341"/>
    </row>
    <row r="630" spans="1:15" ht="16.2" outlineLevel="1">
      <c r="A630" s="288"/>
      <c r="B630" s="351" t="s">
        <v>822</v>
      </c>
      <c r="C630" s="388" t="str">
        <f>IF(OR(I630&lt;&gt;0,H630&lt;&gt;0),"x"," ")</f>
        <v xml:space="preserve"> </v>
      </c>
      <c r="D630" s="338"/>
      <c r="E630" s="358" t="str">
        <f>VLOOKUP($B630,DG!A:D,DG!$C$2,)</f>
        <v>Kẹp cáp 3 boulon</v>
      </c>
      <c r="F630" s="338" t="str">
        <f>VLOOKUP($B630,DG!A:D,DG!$D$2,)</f>
        <v>cái</v>
      </c>
      <c r="G630" s="359">
        <v>12</v>
      </c>
      <c r="H630" s="360">
        <f>H$627*$G630</f>
        <v>0</v>
      </c>
      <c r="I630" s="360">
        <f t="shared" si="40"/>
        <v>0</v>
      </c>
      <c r="J630" s="360">
        <f t="shared" si="40"/>
        <v>0</v>
      </c>
      <c r="K630" s="360"/>
      <c r="L630" s="360"/>
      <c r="M630" s="332"/>
      <c r="N630" s="340"/>
      <c r="O630" s="341"/>
    </row>
    <row r="631" spans="1:15" ht="16.2" outlineLevel="1">
      <c r="A631" s="288"/>
      <c r="B631" s="351" t="s">
        <v>848</v>
      </c>
      <c r="C631" s="388" t="str">
        <f>IF(OR(I631&lt;&gt;0,H631&lt;&gt;0),"x"," ")</f>
        <v xml:space="preserve"> </v>
      </c>
      <c r="D631" s="338"/>
      <c r="E631" s="358" t="str">
        <f>VLOOKUP($B631,DG!A:D,DG!$C$2,)</f>
        <v>Cáp thép 5/8"</v>
      </c>
      <c r="F631" s="402">
        <f>N631</f>
        <v>0</v>
      </c>
      <c r="G631" s="385">
        <f>O631</f>
        <v>0</v>
      </c>
      <c r="H631" s="360">
        <f>H$627*$G631</f>
        <v>0</v>
      </c>
      <c r="I631" s="360">
        <f t="shared" si="40"/>
        <v>0</v>
      </c>
      <c r="J631" s="360">
        <f t="shared" si="40"/>
        <v>0</v>
      </c>
      <c r="K631" s="360"/>
      <c r="L631" s="360"/>
      <c r="M631" s="332"/>
      <c r="N631" s="340"/>
      <c r="O631" s="341"/>
    </row>
    <row r="632" spans="1:15" ht="16.2" outlineLevel="1">
      <c r="A632" s="288"/>
      <c r="B632" s="351" t="s">
        <v>824</v>
      </c>
      <c r="C632" s="388" t="str">
        <f>IF(OR(I632&lt;&gt;0,H632&lt;&gt;0),"x"," ")</f>
        <v xml:space="preserve"> </v>
      </c>
      <c r="D632" s="338"/>
      <c r="E632" s="358" t="str">
        <f>VLOOKUP($B632,DG!A:D,DG!$C$2,)</f>
        <v>Yếm cáp dày 2mm</v>
      </c>
      <c r="F632" s="338" t="str">
        <f>VLOOKUP($B632,DG!A:D,DG!$D$2,)</f>
        <v>cái</v>
      </c>
      <c r="G632" s="359">
        <v>2</v>
      </c>
      <c r="H632" s="360">
        <f>H$627*$G632</f>
        <v>0</v>
      </c>
      <c r="I632" s="360">
        <f t="shared" si="40"/>
        <v>0</v>
      </c>
      <c r="J632" s="360">
        <f t="shared" si="40"/>
        <v>0</v>
      </c>
      <c r="K632" s="360"/>
      <c r="L632" s="360"/>
      <c r="M632" s="332"/>
      <c r="N632" s="340"/>
      <c r="O632" s="341"/>
    </row>
    <row r="633" spans="1:15" ht="16.2" outlineLevel="1">
      <c r="A633" s="288"/>
      <c r="B633" s="351" t="s">
        <v>826</v>
      </c>
      <c r="C633" s="388" t="str">
        <f>IF(OR(I633&lt;&gt;0,H633&lt;&gt;0),"x"," ")</f>
        <v xml:space="preserve"> </v>
      </c>
      <c r="D633" s="338" t="str">
        <f>VLOOKUP($B633,DG!A:D,DG!$B$2,)</f>
        <v>06.3241</v>
      </c>
      <c r="E633" s="366" t="str">
        <f>VLOOKUP($B633,DG!A:D,DG!$C$2,)</f>
        <v>Lắp bộ dây néo</v>
      </c>
      <c r="F633" s="338" t="str">
        <f>VLOOKUP($B633,DG!A:D,DG!$D$2,)</f>
        <v>bộ</v>
      </c>
      <c r="G633" s="359">
        <v>2</v>
      </c>
      <c r="H633" s="354"/>
      <c r="I633" s="354"/>
      <c r="J633" s="354"/>
      <c r="K633" s="354"/>
      <c r="L633" s="354"/>
      <c r="M633" s="332"/>
      <c r="N633" s="340"/>
      <c r="O633" s="341"/>
    </row>
    <row r="634" spans="1:15" ht="16.2" outlineLevel="1">
      <c r="A634" s="288"/>
      <c r="B634" s="356" t="s">
        <v>827</v>
      </c>
      <c r="C634" s="388" t="str">
        <f>IF(OR(I634&lt;&gt;0,H634&lt;&gt;0),"x"," ")</f>
        <v xml:space="preserve"> </v>
      </c>
      <c r="D634" s="338" t="str">
        <f>VLOOKUP($B634,DG!A:C,2,)</f>
        <v>02.1421</v>
      </c>
      <c r="E634" s="366" t="str">
        <f>VLOOKUP($B634,DG!A:C,3,)</f>
        <v>V/c phụ kiện vào vị trí (cự ly &lt;=100m)</v>
      </c>
      <c r="F634" s="338" t="str">
        <f>VLOOKUP($B634,DG!A:D,4,0)</f>
        <v>tấn</v>
      </c>
      <c r="G634" s="357">
        <v>0.02</v>
      </c>
      <c r="H634" s="354"/>
      <c r="I634" s="354"/>
      <c r="J634" s="354"/>
      <c r="K634" s="354"/>
      <c r="L634" s="354"/>
      <c r="M634" s="332"/>
      <c r="N634" s="340"/>
      <c r="O634" s="341"/>
    </row>
    <row r="635" spans="1:15" ht="16.2" outlineLevel="1">
      <c r="A635" s="342" t="s">
        <v>864</v>
      </c>
      <c r="B635" s="343" t="s">
        <v>864</v>
      </c>
      <c r="C635" s="388" t="str">
        <f>IF(OR(I635&lt;&gt;0,H635&lt;&gt;0),"x"," ")</f>
        <v xml:space="preserve"> </v>
      </c>
      <c r="D635" s="345"/>
      <c r="E635" s="346" t="s">
        <v>865</v>
      </c>
      <c r="F635" s="347" t="s">
        <v>285</v>
      </c>
      <c r="G635" s="348"/>
      <c r="H635" s="349">
        <f>IFERROR(HLOOKUP(B635,'BKT-ThuHoi'!$5:$183,179,0),0)</f>
        <v>0</v>
      </c>
      <c r="I635" s="350">
        <f>H635+J635-K635</f>
        <v>0</v>
      </c>
      <c r="J635" s="350"/>
      <c r="K635" s="350"/>
      <c r="L635" s="350"/>
      <c r="M635" s="332"/>
      <c r="N635" s="340"/>
      <c r="O635" s="341"/>
    </row>
    <row r="636" spans="1:15" ht="16.2" outlineLevel="1">
      <c r="A636" s="288"/>
      <c r="B636" s="351" t="s">
        <v>820</v>
      </c>
      <c r="C636" s="388" t="str">
        <f>IF(OR(I636&lt;&gt;0,H636&lt;&gt;0),"x"," ")</f>
        <v xml:space="preserve"> </v>
      </c>
      <c r="D636" s="338"/>
      <c r="E636" s="358" t="str">
        <f>VLOOKUP($B636,DG!A:D,DG!$C$2,)</f>
        <v>Boulon mắt 16x250</v>
      </c>
      <c r="F636" s="338" t="str">
        <f>VLOOKUP($B636,DG!A:D,DG!$D$2,)</f>
        <v>bộ</v>
      </c>
      <c r="G636" s="359">
        <v>4</v>
      </c>
      <c r="H636" s="360">
        <f t="shared" ref="H636:H640" si="41">H$635*$G636</f>
        <v>0</v>
      </c>
      <c r="I636" s="360"/>
      <c r="J636" s="360"/>
      <c r="K636" s="360"/>
      <c r="L636" s="360"/>
      <c r="M636" s="332"/>
      <c r="N636" s="340"/>
      <c r="O636" s="341"/>
    </row>
    <row r="637" spans="1:15" ht="16.2" outlineLevel="1">
      <c r="A637" s="288"/>
      <c r="B637" s="351" t="s">
        <v>821</v>
      </c>
      <c r="C637" s="388" t="str">
        <f>IF(OR(I637&lt;&gt;0,H637&lt;&gt;0),"x"," ")</f>
        <v xml:space="preserve"> </v>
      </c>
      <c r="D637" s="338"/>
      <c r="E637" s="358" t="str">
        <f>VLOOKUP($B637,DG!A:D,DG!$C$2,)</f>
        <v>Sứ chằng</v>
      </c>
      <c r="F637" s="338" t="str">
        <f>VLOOKUP($B637,DG!A:D,DG!$D$2,)</f>
        <v>cái</v>
      </c>
      <c r="G637" s="359">
        <v>4</v>
      </c>
      <c r="H637" s="360">
        <f t="shared" si="41"/>
        <v>0</v>
      </c>
      <c r="I637" s="360"/>
      <c r="J637" s="360"/>
      <c r="K637" s="360"/>
      <c r="L637" s="360"/>
      <c r="M637" s="332"/>
      <c r="N637" s="340"/>
      <c r="O637" s="341"/>
    </row>
    <row r="638" spans="1:15" ht="16.2" outlineLevel="1">
      <c r="A638" s="288"/>
      <c r="B638" s="351" t="s">
        <v>822</v>
      </c>
      <c r="C638" s="388" t="str">
        <f>IF(OR(I638&lt;&gt;0,H638&lt;&gt;0),"x"," ")</f>
        <v xml:space="preserve"> </v>
      </c>
      <c r="D638" s="338"/>
      <c r="E638" s="358" t="str">
        <f>VLOOKUP($B638,DG!A:D,DG!$C$2,)</f>
        <v>Kẹp cáp 3 boulon</v>
      </c>
      <c r="F638" s="338" t="str">
        <f>VLOOKUP($B638,DG!A:D,DG!$D$2,)</f>
        <v>cái</v>
      </c>
      <c r="G638" s="359">
        <v>24</v>
      </c>
      <c r="H638" s="360">
        <f t="shared" si="41"/>
        <v>0</v>
      </c>
      <c r="I638" s="360"/>
      <c r="J638" s="360"/>
      <c r="K638" s="360"/>
      <c r="L638" s="360"/>
      <c r="M638" s="332"/>
      <c r="N638" s="340"/>
      <c r="O638" s="341"/>
    </row>
    <row r="639" spans="1:15" ht="16.2" outlineLevel="1">
      <c r="A639" s="288"/>
      <c r="B639" s="351" t="s">
        <v>848</v>
      </c>
      <c r="C639" s="388" t="str">
        <f>IF(OR(I639&lt;&gt;0,H639&lt;&gt;0),"x"," ")</f>
        <v xml:space="preserve"> </v>
      </c>
      <c r="D639" s="338"/>
      <c r="E639" s="358" t="str">
        <f>VLOOKUP($B639,DG!A:D,DG!$C$2,)</f>
        <v>Cáp thép 5/8"</v>
      </c>
      <c r="F639" s="338" t="str">
        <f>VLOOKUP($B639,DG!A:D,DG!$D$2,)</f>
        <v>kg</v>
      </c>
      <c r="G639" s="359">
        <v>12</v>
      </c>
      <c r="H639" s="360">
        <f t="shared" si="41"/>
        <v>0</v>
      </c>
      <c r="I639" s="360"/>
      <c r="J639" s="360"/>
      <c r="K639" s="360"/>
      <c r="L639" s="360"/>
      <c r="M639" s="332"/>
      <c r="N639" s="340"/>
      <c r="O639" s="341"/>
    </row>
    <row r="640" spans="1:15" ht="16.2" outlineLevel="1">
      <c r="A640" s="288"/>
      <c r="B640" s="351" t="s">
        <v>824</v>
      </c>
      <c r="C640" s="388" t="str">
        <f>IF(OR(I640&lt;&gt;0,H640&lt;&gt;0),"x"," ")</f>
        <v xml:space="preserve"> </v>
      </c>
      <c r="D640" s="338"/>
      <c r="E640" s="358" t="str">
        <f>VLOOKUP($B640,DG!A:D,DG!$C$2,)</f>
        <v>Yếm cáp dày 2mm</v>
      </c>
      <c r="F640" s="338" t="str">
        <f>VLOOKUP($B640,DG!A:D,DG!$D$2,)</f>
        <v>cái</v>
      </c>
      <c r="G640" s="359">
        <v>4</v>
      </c>
      <c r="H640" s="360">
        <f t="shared" si="41"/>
        <v>0</v>
      </c>
      <c r="I640" s="360"/>
      <c r="J640" s="360"/>
      <c r="K640" s="360"/>
      <c r="L640" s="360"/>
      <c r="M640" s="332"/>
      <c r="N640" s="340"/>
      <c r="O640" s="341"/>
    </row>
    <row r="641" spans="1:15" ht="16.2" outlineLevel="1">
      <c r="A641" s="288"/>
      <c r="B641" s="351" t="s">
        <v>826</v>
      </c>
      <c r="C641" s="388" t="str">
        <f>IF(OR(I641&lt;&gt;0,H641&lt;&gt;0),"x"," ")</f>
        <v xml:space="preserve"> </v>
      </c>
      <c r="D641" s="338" t="str">
        <f>VLOOKUP($B641,DG!A:D,DG!$B$2,)</f>
        <v>06.3241</v>
      </c>
      <c r="E641" s="366" t="str">
        <f>VLOOKUP($B641,DG!A:D,DG!$C$2,)</f>
        <v>Lắp bộ dây néo</v>
      </c>
      <c r="F641" s="338" t="str">
        <f>VLOOKUP($B641,DG!A:D,DG!$D$2,)</f>
        <v>bộ</v>
      </c>
      <c r="G641" s="359">
        <v>2</v>
      </c>
      <c r="H641" s="354"/>
      <c r="I641" s="354"/>
      <c r="J641" s="354"/>
      <c r="K641" s="354"/>
      <c r="L641" s="354"/>
      <c r="M641" s="332"/>
      <c r="N641" s="340"/>
      <c r="O641" s="341"/>
    </row>
    <row r="642" spans="1:15" ht="16.2" outlineLevel="1">
      <c r="A642" s="288"/>
      <c r="B642" s="356" t="s">
        <v>827</v>
      </c>
      <c r="C642" s="388" t="str">
        <f>IF(OR(I642&lt;&gt;0,H642&lt;&gt;0),"x"," ")</f>
        <v xml:space="preserve"> </v>
      </c>
      <c r="D642" s="338" t="str">
        <f>VLOOKUP($B642,DG!A:C,2,)</f>
        <v>02.1421</v>
      </c>
      <c r="E642" s="366" t="str">
        <f>VLOOKUP($B642,DG!A:C,3,)</f>
        <v>V/c phụ kiện vào vị trí (cự ly &lt;=100m)</v>
      </c>
      <c r="F642" s="338" t="str">
        <f>VLOOKUP($B642,DG!A:D,4,0)</f>
        <v>tấn</v>
      </c>
      <c r="G642" s="357">
        <v>0.02</v>
      </c>
      <c r="H642" s="354"/>
      <c r="I642" s="354"/>
      <c r="J642" s="354"/>
      <c r="K642" s="354"/>
      <c r="L642" s="354"/>
      <c r="M642" s="332"/>
      <c r="N642" s="340"/>
      <c r="O642" s="341"/>
    </row>
    <row r="643" spans="1:15" ht="16.2" outlineLevel="1">
      <c r="A643" s="342" t="s">
        <v>866</v>
      </c>
      <c r="B643" s="343" t="s">
        <v>866</v>
      </c>
      <c r="C643" s="388" t="str">
        <f>IF(OR(I643&lt;&gt;0,H643&lt;&gt;0),"x"," ")</f>
        <v xml:space="preserve"> </v>
      </c>
      <c r="D643" s="345"/>
      <c r="E643" s="346" t="s">
        <v>867</v>
      </c>
      <c r="F643" s="347" t="s">
        <v>285</v>
      </c>
      <c r="G643" s="348"/>
      <c r="H643" s="349">
        <f>IFERROR(HLOOKUP(B643,'BKT-ThuHoi'!$5:$183,179,0),0)</f>
        <v>0</v>
      </c>
      <c r="I643" s="350">
        <f>H643+J643-K643</f>
        <v>0</v>
      </c>
      <c r="J643" s="350"/>
      <c r="K643" s="350"/>
      <c r="L643" s="350"/>
      <c r="M643" s="332"/>
      <c r="N643" s="340"/>
      <c r="O643" s="341"/>
    </row>
    <row r="644" spans="1:15" ht="16.2" outlineLevel="1">
      <c r="A644" s="288"/>
      <c r="B644" s="351" t="s">
        <v>868</v>
      </c>
      <c r="C644" s="388" t="str">
        <f>IF(OR(I644&lt;&gt;0,H644&lt;&gt;0),"x"," ")</f>
        <v xml:space="preserve"> </v>
      </c>
      <c r="D644" s="338"/>
      <c r="E644" s="358" t="str">
        <f>VLOOKUP($B644,DG!A:D,DG!$C$2,)&amp;"-Fe8x100 nhuùng keõm"</f>
        <v>Cổ dê Ø 195 nẹp trụ-Fe8x100 nhuùng keõm</v>
      </c>
      <c r="F644" s="338" t="str">
        <f>VLOOKUP($B644,DG!A:D,DG!$D$2,)</f>
        <v>bộ</v>
      </c>
      <c r="G644" s="359">
        <v>1</v>
      </c>
      <c r="H644" s="360">
        <f t="shared" ref="H644:H652" si="42">H$643*$G644</f>
        <v>0</v>
      </c>
      <c r="I644" s="360"/>
      <c r="J644" s="360"/>
      <c r="K644" s="360"/>
      <c r="L644" s="360"/>
      <c r="M644" s="332"/>
      <c r="N644" s="340"/>
      <c r="O644" s="341"/>
    </row>
    <row r="645" spans="1:15" ht="16.2" outlineLevel="1">
      <c r="A645" s="288"/>
      <c r="B645" s="351" t="s">
        <v>821</v>
      </c>
      <c r="C645" s="388" t="str">
        <f>IF(OR(I645&lt;&gt;0,H645&lt;&gt;0),"x"," ")</f>
        <v xml:space="preserve"> </v>
      </c>
      <c r="D645" s="338"/>
      <c r="E645" s="358" t="str">
        <f>VLOOKUP($B645,DG!A:D,DG!$C$2,)</f>
        <v>Sứ chằng</v>
      </c>
      <c r="F645" s="338" t="str">
        <f>VLOOKUP($B645,DG!A:D,DG!$D$2,)</f>
        <v>cái</v>
      </c>
      <c r="G645" s="359">
        <v>1</v>
      </c>
      <c r="H645" s="360">
        <f t="shared" si="42"/>
        <v>0</v>
      </c>
      <c r="I645" s="360"/>
      <c r="J645" s="360"/>
      <c r="K645" s="360"/>
      <c r="L645" s="360"/>
      <c r="M645" s="332"/>
      <c r="N645" s="340"/>
      <c r="O645" s="341"/>
    </row>
    <row r="646" spans="1:15" ht="16.2" outlineLevel="1">
      <c r="A646" s="288"/>
      <c r="B646" s="351" t="s">
        <v>822</v>
      </c>
      <c r="C646" s="388" t="str">
        <f>IF(OR(I646&lt;&gt;0,H646&lt;&gt;0),"x"," ")</f>
        <v xml:space="preserve"> </v>
      </c>
      <c r="D646" s="338"/>
      <c r="E646" s="358" t="str">
        <f>VLOOKUP($B646,DG!A:D,DG!$C$2,)</f>
        <v>Kẹp cáp 3 boulon</v>
      </c>
      <c r="F646" s="338" t="str">
        <f>VLOOKUP($B646,DG!A:D,DG!$D$2,)</f>
        <v>cái</v>
      </c>
      <c r="G646" s="359">
        <v>8</v>
      </c>
      <c r="H646" s="360">
        <f t="shared" si="42"/>
        <v>0</v>
      </c>
      <c r="I646" s="360"/>
      <c r="J646" s="360"/>
      <c r="K646" s="360"/>
      <c r="L646" s="360"/>
      <c r="M646" s="332"/>
      <c r="N646" s="340"/>
      <c r="O646" s="341"/>
    </row>
    <row r="647" spans="1:15" ht="16.2" outlineLevel="1">
      <c r="A647" s="288"/>
      <c r="B647" s="403" t="s">
        <v>1015</v>
      </c>
      <c r="C647" s="388" t="str">
        <f>IF(OR(I647&lt;&gt;0,H647&lt;&gt;0),"x"," ")</f>
        <v xml:space="preserve"> </v>
      </c>
      <c r="D647" s="338"/>
      <c r="E647" s="358" t="str">
        <f>VLOOKUP($B647,DG!A:D,DG!$C$2,)</f>
        <v>Kẹp hotline 4/0</v>
      </c>
      <c r="F647" s="338" t="str">
        <f>VLOOKUP($B647,DG!A:D,DG!$D$2,)</f>
        <v>cái</v>
      </c>
      <c r="G647" s="359">
        <v>15</v>
      </c>
      <c r="H647" s="360">
        <f t="shared" si="42"/>
        <v>0</v>
      </c>
      <c r="I647" s="360"/>
      <c r="J647" s="360"/>
      <c r="K647" s="360"/>
      <c r="L647" s="360"/>
      <c r="M647" s="332"/>
      <c r="N647" s="340"/>
      <c r="O647" s="341"/>
    </row>
    <row r="648" spans="1:15" ht="16.2" outlineLevel="1">
      <c r="A648" s="288"/>
      <c r="B648" s="351" t="s">
        <v>791</v>
      </c>
      <c r="C648" s="388" t="str">
        <f>IF(OR(I648&lt;&gt;0,H648&lt;&gt;0),"x"," ")</f>
        <v xml:space="preserve"> </v>
      </c>
      <c r="D648" s="338"/>
      <c r="E648" s="358" t="str">
        <f>VLOOKUP($B648,DG!A:D,DG!$C$2,)</f>
        <v>Sắt dẹt 60 x 6</v>
      </c>
      <c r="F648" s="338" t="str">
        <f>VLOOKUP($B648,DG!A:D,DG!$D$2,)</f>
        <v>kg</v>
      </c>
      <c r="G648" s="359">
        <v>2</v>
      </c>
      <c r="H648" s="360">
        <f t="shared" si="42"/>
        <v>0</v>
      </c>
      <c r="I648" s="360"/>
      <c r="J648" s="360"/>
      <c r="K648" s="360"/>
      <c r="L648" s="360"/>
      <c r="M648" s="332"/>
      <c r="N648" s="340"/>
      <c r="O648" s="341"/>
    </row>
    <row r="649" spans="1:15" ht="16.2" outlineLevel="1">
      <c r="A649" s="288"/>
      <c r="B649" s="351" t="s">
        <v>869</v>
      </c>
      <c r="C649" s="388" t="str">
        <f>IF(OR(I649&lt;&gt;0,H649&lt;&gt;0),"x"," ")</f>
        <v xml:space="preserve"> </v>
      </c>
      <c r="D649" s="338"/>
      <c r="E649" s="358" t="str">
        <f>VLOOKUP($B649,DG!A:D,DG!$C$2,)</f>
        <v xml:space="preserve">Móc treo chữ U </v>
      </c>
      <c r="F649" s="338" t="str">
        <f>VLOOKUP($B649,DG!A:D,DG!$D$2,)</f>
        <v>cái</v>
      </c>
      <c r="G649" s="359">
        <v>1</v>
      </c>
      <c r="H649" s="360">
        <f t="shared" si="42"/>
        <v>0</v>
      </c>
      <c r="I649" s="360"/>
      <c r="J649" s="360"/>
      <c r="K649" s="360"/>
      <c r="L649" s="360"/>
      <c r="M649" s="332"/>
      <c r="N649" s="340"/>
      <c r="O649" s="341"/>
    </row>
    <row r="650" spans="1:15" ht="16.2" outlineLevel="1">
      <c r="A650" s="288"/>
      <c r="B650" s="404" t="s">
        <v>870</v>
      </c>
      <c r="C650" s="388" t="str">
        <f>IF(OR(I650&lt;&gt;0,H650&lt;&gt;0),"x"," ")</f>
        <v xml:space="preserve"> </v>
      </c>
      <c r="D650" s="338"/>
      <c r="E650" s="358" t="str">
        <f>VLOOKUP($B650,DG!A:D,DG!$C$2,)</f>
        <v>Boulon 16x100VRS+ 4 long đền vuông D18-50x50x3/Zn</v>
      </c>
      <c r="F650" s="338" t="str">
        <f>VLOOKUP($B650,DG!A:D,DG!$D$2,)</f>
        <v>bộ</v>
      </c>
      <c r="G650" s="359">
        <v>2</v>
      </c>
      <c r="H650" s="360">
        <f t="shared" si="42"/>
        <v>0</v>
      </c>
      <c r="I650" s="360"/>
      <c r="J650" s="360"/>
      <c r="K650" s="360"/>
      <c r="L650" s="360"/>
      <c r="M650" s="332"/>
      <c r="N650" s="340"/>
      <c r="O650" s="341"/>
    </row>
    <row r="651" spans="1:15" ht="16.2" outlineLevel="1">
      <c r="A651" s="288"/>
      <c r="B651" s="351" t="s">
        <v>824</v>
      </c>
      <c r="C651" s="388" t="str">
        <f>IF(OR(I651&lt;&gt;0,H651&lt;&gt;0),"x"," ")</f>
        <v xml:space="preserve"> </v>
      </c>
      <c r="D651" s="338"/>
      <c r="E651" s="358" t="str">
        <f>VLOOKUP($B651,DG!A:D,DG!$C$2,)</f>
        <v>Yếm cáp dày 2mm</v>
      </c>
      <c r="F651" s="338" t="str">
        <f>VLOOKUP($B651,DG!A:D,DG!$D$2,)</f>
        <v>cái</v>
      </c>
      <c r="G651" s="359">
        <v>2</v>
      </c>
      <c r="H651" s="360">
        <f t="shared" si="42"/>
        <v>0</v>
      </c>
      <c r="I651" s="360"/>
      <c r="J651" s="360"/>
      <c r="K651" s="360"/>
      <c r="L651" s="360"/>
      <c r="M651" s="332"/>
      <c r="N651" s="340"/>
      <c r="O651" s="341"/>
    </row>
    <row r="652" spans="1:15" ht="16.2" outlineLevel="1">
      <c r="A652" s="288"/>
      <c r="B652" s="351" t="s">
        <v>825</v>
      </c>
      <c r="C652" s="388" t="str">
        <f>IF(OR(I652&lt;&gt;0,H652&lt;&gt;0),"x"," ")</f>
        <v xml:space="preserve"> </v>
      </c>
      <c r="D652" s="338"/>
      <c r="E652" s="358" t="str">
        <f>VLOOKUP($B652,DG!A:D,DG!$C$2,)</f>
        <v>Máng che dây chằng dày 1,6mm</v>
      </c>
      <c r="F652" s="338" t="str">
        <f>VLOOKUP($B652,DG!A:D,DG!$D$2,)</f>
        <v>cái</v>
      </c>
      <c r="G652" s="359">
        <v>1</v>
      </c>
      <c r="H652" s="360">
        <f t="shared" si="42"/>
        <v>0</v>
      </c>
      <c r="I652" s="360"/>
      <c r="J652" s="360"/>
      <c r="K652" s="360"/>
      <c r="L652" s="360"/>
      <c r="M652" s="332"/>
      <c r="N652" s="340"/>
      <c r="O652" s="341"/>
    </row>
    <row r="653" spans="1:15" ht="16.2" outlineLevel="1">
      <c r="A653" s="288"/>
      <c r="B653" s="351" t="s">
        <v>826</v>
      </c>
      <c r="C653" s="388" t="str">
        <f>IF(OR(I653&lt;&gt;0,H653&lt;&gt;0),"x"," ")</f>
        <v xml:space="preserve"> </v>
      </c>
      <c r="D653" s="338" t="str">
        <f>VLOOKUP($B653,DG!A:D,DG!$B$2,)</f>
        <v>06.3241</v>
      </c>
      <c r="E653" s="366" t="str">
        <f>VLOOKUP($B653,DG!A:D,DG!$C$2,)</f>
        <v>Lắp bộ dây néo</v>
      </c>
      <c r="F653" s="338" t="str">
        <f>VLOOKUP($B653,DG!A:D,DG!$D$2,)</f>
        <v>bộ</v>
      </c>
      <c r="G653" s="359">
        <v>1</v>
      </c>
      <c r="H653" s="354"/>
      <c r="I653" s="354"/>
      <c r="J653" s="354"/>
      <c r="K653" s="354"/>
      <c r="L653" s="354"/>
      <c r="M653" s="332"/>
      <c r="N653" s="340"/>
      <c r="O653" s="341"/>
    </row>
    <row r="654" spans="1:15" ht="16.2" outlineLevel="1">
      <c r="A654" s="288"/>
      <c r="B654" s="351" t="s">
        <v>871</v>
      </c>
      <c r="C654" s="388" t="str">
        <f>IF(OR(I654&lt;&gt;0,H654&lt;&gt;0),"x"," ")</f>
        <v xml:space="preserve"> </v>
      </c>
      <c r="D654" s="338" t="str">
        <f>VLOOKUP($B654,DG!A:D,DG!$B$2,)</f>
        <v>06.2110</v>
      </c>
      <c r="E654" s="366" t="str">
        <f>VLOOKUP($B654,DG!A:D,DG!$C$2,)</f>
        <v>Lắp cổ dề</v>
      </c>
      <c r="F654" s="338" t="str">
        <f>VLOOKUP($B654,DG!A:D,DG!$D$2,)</f>
        <v>cái</v>
      </c>
      <c r="G654" s="359">
        <v>1</v>
      </c>
      <c r="H654" s="354"/>
      <c r="I654" s="354"/>
      <c r="J654" s="354"/>
      <c r="K654" s="354"/>
      <c r="L654" s="354"/>
      <c r="M654" s="332"/>
      <c r="N654" s="340"/>
      <c r="O654" s="341"/>
    </row>
    <row r="655" spans="1:15" ht="16.2" outlineLevel="1">
      <c r="A655" s="288"/>
      <c r="B655" s="356" t="s">
        <v>827</v>
      </c>
      <c r="C655" s="388" t="str">
        <f>IF(OR(I655&lt;&gt;0,H655&lt;&gt;0),"x"," ")</f>
        <v xml:space="preserve"> </v>
      </c>
      <c r="D655" s="338" t="str">
        <f>VLOOKUP($B655,DG!A:C,2,)</f>
        <v>02.1421</v>
      </c>
      <c r="E655" s="366" t="str">
        <f>VLOOKUP($B655,DG!A:C,3,)</f>
        <v>V/c phụ kiện vào vị trí (cự ly &lt;=100m)</v>
      </c>
      <c r="F655" s="338" t="str">
        <f>VLOOKUP($B655,DG!A:D,4,0)</f>
        <v>tấn</v>
      </c>
      <c r="G655" s="357">
        <v>0.02</v>
      </c>
      <c r="H655" s="354"/>
      <c r="I655" s="354"/>
      <c r="J655" s="354"/>
      <c r="K655" s="354"/>
      <c r="L655" s="354"/>
      <c r="M655" s="332"/>
      <c r="N655" s="340"/>
      <c r="O655" s="341"/>
    </row>
    <row r="656" spans="1:15" ht="16.2" outlineLevel="1">
      <c r="A656" s="342" t="s">
        <v>872</v>
      </c>
      <c r="B656" s="343" t="s">
        <v>872</v>
      </c>
      <c r="C656" s="388" t="str">
        <f>IF(OR(I656&lt;&gt;0,H656&lt;&gt;0),"x"," ")</f>
        <v xml:space="preserve"> </v>
      </c>
      <c r="D656" s="345"/>
      <c r="E656" s="346" t="s">
        <v>873</v>
      </c>
      <c r="F656" s="347" t="s">
        <v>285</v>
      </c>
      <c r="G656" s="348"/>
      <c r="H656" s="349">
        <f>IFERROR(HLOOKUP(B656,'BKT-ThuHoi'!$5:$183,179,0),0)</f>
        <v>0</v>
      </c>
      <c r="I656" s="350">
        <f>H656+J656-K656</f>
        <v>0</v>
      </c>
      <c r="J656" s="350"/>
      <c r="K656" s="350"/>
      <c r="L656" s="350"/>
      <c r="M656" s="332"/>
      <c r="N656" s="340"/>
      <c r="O656" s="341"/>
    </row>
    <row r="657" spans="1:15" ht="16.2" outlineLevel="1">
      <c r="A657" s="288"/>
      <c r="B657" s="351" t="s">
        <v>868</v>
      </c>
      <c r="C657" s="388" t="str">
        <f>IF(OR(I657&lt;&gt;0,H657&lt;&gt;0),"x"," ")</f>
        <v xml:space="preserve"> </v>
      </c>
      <c r="D657" s="338"/>
      <c r="E657" s="358" t="str">
        <f>VLOOKUP($B657,DG!A:D,DG!$C$2,)&amp;"-Fe8x100 nhuùng keõm"</f>
        <v>Cổ dê Ø 195 nẹp trụ-Fe8x100 nhuùng keõm</v>
      </c>
      <c r="F657" s="338" t="str">
        <f>VLOOKUP($B657,DG!A:D,DG!$D$2,)</f>
        <v>bộ</v>
      </c>
      <c r="G657" s="359">
        <v>1</v>
      </c>
      <c r="H657" s="360">
        <f t="shared" ref="H657:H666" si="43">H$656*$G657</f>
        <v>0</v>
      </c>
      <c r="I657" s="360"/>
      <c r="J657" s="360"/>
      <c r="K657" s="360"/>
      <c r="L657" s="360"/>
      <c r="M657" s="332"/>
      <c r="N657" s="340"/>
      <c r="O657" s="341"/>
    </row>
    <row r="658" spans="1:15" ht="16.2" outlineLevel="1">
      <c r="A658" s="288"/>
      <c r="B658" s="351" t="s">
        <v>821</v>
      </c>
      <c r="C658" s="388" t="str">
        <f>IF(OR(I658&lt;&gt;0,H658&lt;&gt;0),"x"," ")</f>
        <v xml:space="preserve"> </v>
      </c>
      <c r="D658" s="338"/>
      <c r="E658" s="358" t="str">
        <f>VLOOKUP($B658,DG!A:D,DG!$C$2,)</f>
        <v>Sứ chằng</v>
      </c>
      <c r="F658" s="338" t="str">
        <f>VLOOKUP($B658,DG!A:D,DG!$D$2,)</f>
        <v>cái</v>
      </c>
      <c r="G658" s="359">
        <v>1</v>
      </c>
      <c r="H658" s="360">
        <f t="shared" si="43"/>
        <v>0</v>
      </c>
      <c r="I658" s="360"/>
      <c r="J658" s="360"/>
      <c r="K658" s="360"/>
      <c r="L658" s="360"/>
      <c r="M658" s="332"/>
      <c r="N658" s="340"/>
      <c r="O658" s="341"/>
    </row>
    <row r="659" spans="1:15" ht="16.2" outlineLevel="1">
      <c r="A659" s="288"/>
      <c r="B659" s="351" t="s">
        <v>822</v>
      </c>
      <c r="C659" s="388" t="str">
        <f>IF(OR(I659&lt;&gt;0,H659&lt;&gt;0),"x"," ")</f>
        <v xml:space="preserve"> </v>
      </c>
      <c r="D659" s="338"/>
      <c r="E659" s="358" t="str">
        <f>VLOOKUP($B659,DG!A:D,DG!$C$2,)</f>
        <v>Kẹp cáp 3 boulon</v>
      </c>
      <c r="F659" s="338" t="str">
        <f>VLOOKUP($B659,DG!A:D,DG!$D$2,)</f>
        <v>cái</v>
      </c>
      <c r="G659" s="359">
        <v>8</v>
      </c>
      <c r="H659" s="360">
        <f t="shared" si="43"/>
        <v>0</v>
      </c>
      <c r="I659" s="360"/>
      <c r="J659" s="360"/>
      <c r="K659" s="360"/>
      <c r="L659" s="360"/>
      <c r="M659" s="332"/>
      <c r="N659" s="340"/>
      <c r="O659" s="341"/>
    </row>
    <row r="660" spans="1:15" ht="16.2" outlineLevel="1">
      <c r="A660" s="288"/>
      <c r="B660" s="403" t="s">
        <v>1015</v>
      </c>
      <c r="C660" s="388" t="str">
        <f>IF(OR(I660&lt;&gt;0,H660&lt;&gt;0),"x"," ")</f>
        <v xml:space="preserve"> </v>
      </c>
      <c r="D660" s="338"/>
      <c r="E660" s="358" t="str">
        <f>VLOOKUP($B660,DG!A:D,DG!$C$2,)</f>
        <v>Kẹp hotline 4/0</v>
      </c>
      <c r="F660" s="338" t="str">
        <f>VLOOKUP($B660,DG!A:D,DG!$D$2,)</f>
        <v>cái</v>
      </c>
      <c r="G660" s="359">
        <v>11</v>
      </c>
      <c r="H660" s="360">
        <f t="shared" si="43"/>
        <v>0</v>
      </c>
      <c r="I660" s="360"/>
      <c r="J660" s="360"/>
      <c r="K660" s="360"/>
      <c r="L660" s="360"/>
      <c r="M660" s="332"/>
      <c r="N660" s="340"/>
      <c r="O660" s="341"/>
    </row>
    <row r="661" spans="1:15" ht="16.2" outlineLevel="1">
      <c r="A661" s="288"/>
      <c r="B661" s="351" t="s">
        <v>841</v>
      </c>
      <c r="C661" s="388" t="str">
        <f>IF(OR(I661&lt;&gt;0,H661&lt;&gt;0),"x"," ")</f>
        <v xml:space="preserve"> </v>
      </c>
      <c r="D661" s="338"/>
      <c r="E661" s="358" t="str">
        <f>VLOOKUP($B661,DG!A:D,DG!$C$2,)</f>
        <v>Bộ chống chằng hẹp Ø60/50x1500+2BL12x40+BL16x250/80</v>
      </c>
      <c r="F661" s="338" t="str">
        <f>VLOOKUP($B661,DG!A:D,DG!$D$2,)</f>
        <v>bộ</v>
      </c>
      <c r="G661" s="359">
        <v>1</v>
      </c>
      <c r="H661" s="360">
        <f t="shared" si="43"/>
        <v>0</v>
      </c>
      <c r="I661" s="360"/>
      <c r="J661" s="360"/>
      <c r="K661" s="360"/>
      <c r="L661" s="360"/>
      <c r="M661" s="332"/>
      <c r="N661" s="340"/>
      <c r="O661" s="341"/>
    </row>
    <row r="662" spans="1:15" ht="16.2" outlineLevel="1">
      <c r="A662" s="288"/>
      <c r="B662" s="351" t="s">
        <v>791</v>
      </c>
      <c r="C662" s="388" t="str">
        <f>IF(OR(I662&lt;&gt;0,H662&lt;&gt;0),"x"," ")</f>
        <v xml:space="preserve"> </v>
      </c>
      <c r="D662" s="338"/>
      <c r="E662" s="358" t="str">
        <f>VLOOKUP($B662,DG!A:D,DG!$C$2,)</f>
        <v>Sắt dẹt 60 x 6</v>
      </c>
      <c r="F662" s="338" t="str">
        <f>VLOOKUP($B662,DG!A:D,DG!$D$2,)</f>
        <v>kg</v>
      </c>
      <c r="G662" s="359">
        <v>2</v>
      </c>
      <c r="H662" s="360">
        <f t="shared" si="43"/>
        <v>0</v>
      </c>
      <c r="I662" s="360"/>
      <c r="J662" s="360"/>
      <c r="K662" s="360"/>
      <c r="L662" s="360"/>
      <c r="M662" s="332"/>
      <c r="N662" s="340"/>
      <c r="O662" s="341"/>
    </row>
    <row r="663" spans="1:15" ht="16.2" outlineLevel="1">
      <c r="A663" s="288"/>
      <c r="B663" s="351" t="s">
        <v>869</v>
      </c>
      <c r="C663" s="388" t="str">
        <f>IF(OR(I663&lt;&gt;0,H663&lt;&gt;0),"x"," ")</f>
        <v xml:space="preserve"> </v>
      </c>
      <c r="D663" s="338"/>
      <c r="E663" s="358" t="str">
        <f>VLOOKUP($B663,DG!A:D,DG!$C$2,)</f>
        <v xml:space="preserve">Móc treo chữ U </v>
      </c>
      <c r="F663" s="338" t="str">
        <f>VLOOKUP($B663,DG!A:D,DG!$D$2,)</f>
        <v>cái</v>
      </c>
      <c r="G663" s="359">
        <v>1</v>
      </c>
      <c r="H663" s="360">
        <f t="shared" si="43"/>
        <v>0</v>
      </c>
      <c r="I663" s="360"/>
      <c r="J663" s="360"/>
      <c r="K663" s="360"/>
      <c r="L663" s="360"/>
      <c r="M663" s="332"/>
      <c r="N663" s="340"/>
      <c r="O663" s="341"/>
    </row>
    <row r="664" spans="1:15" ht="16.2" outlineLevel="1">
      <c r="A664" s="288"/>
      <c r="B664" s="404" t="s">
        <v>870</v>
      </c>
      <c r="C664" s="388" t="str">
        <f>IF(OR(I664&lt;&gt;0,H664&lt;&gt;0),"x"," ")</f>
        <v xml:space="preserve"> </v>
      </c>
      <c r="D664" s="338"/>
      <c r="E664" s="358" t="str">
        <f>VLOOKUP($B664,DG!A:D,DG!$C$2,)</f>
        <v>Boulon 16x100VRS+ 4 long đền vuông D18-50x50x3/Zn</v>
      </c>
      <c r="F664" s="338" t="str">
        <f>VLOOKUP($B664,DG!A:D,DG!$D$2,)</f>
        <v>bộ</v>
      </c>
      <c r="G664" s="359">
        <v>2</v>
      </c>
      <c r="H664" s="360">
        <f t="shared" si="43"/>
        <v>0</v>
      </c>
      <c r="I664" s="360"/>
      <c r="J664" s="360"/>
      <c r="K664" s="360"/>
      <c r="L664" s="360"/>
      <c r="M664" s="332"/>
      <c r="N664" s="340"/>
      <c r="O664" s="341"/>
    </row>
    <row r="665" spans="1:15" ht="16.2" outlineLevel="1">
      <c r="A665" s="288"/>
      <c r="B665" s="351" t="s">
        <v>824</v>
      </c>
      <c r="C665" s="388" t="str">
        <f>IF(OR(I665&lt;&gt;0,H665&lt;&gt;0),"x"," ")</f>
        <v xml:space="preserve"> </v>
      </c>
      <c r="D665" s="338"/>
      <c r="E665" s="358" t="str">
        <f>VLOOKUP($B665,DG!A:D,DG!$C$2,)</f>
        <v>Yếm cáp dày 2mm</v>
      </c>
      <c r="F665" s="338" t="str">
        <f>VLOOKUP($B665,DG!A:D,DG!$D$2,)</f>
        <v>cái</v>
      </c>
      <c r="G665" s="359">
        <v>2</v>
      </c>
      <c r="H665" s="360">
        <f t="shared" si="43"/>
        <v>0</v>
      </c>
      <c r="I665" s="360"/>
      <c r="J665" s="360"/>
      <c r="K665" s="360"/>
      <c r="L665" s="360"/>
      <c r="M665" s="332"/>
      <c r="N665" s="340"/>
      <c r="O665" s="341"/>
    </row>
    <row r="666" spans="1:15" ht="16.2" outlineLevel="1">
      <c r="A666" s="288"/>
      <c r="B666" s="351" t="s">
        <v>825</v>
      </c>
      <c r="C666" s="388" t="str">
        <f>IF(OR(I666&lt;&gt;0,H666&lt;&gt;0),"x"," ")</f>
        <v xml:space="preserve"> </v>
      </c>
      <c r="D666" s="338"/>
      <c r="E666" s="358" t="str">
        <f>VLOOKUP($B666,DG!A:D,DG!$C$2,)</f>
        <v>Máng che dây chằng dày 1,6mm</v>
      </c>
      <c r="F666" s="338" t="str">
        <f>VLOOKUP($B666,DG!A:D,DG!$D$2,)</f>
        <v>cái</v>
      </c>
      <c r="G666" s="359">
        <v>1</v>
      </c>
      <c r="H666" s="360">
        <f t="shared" si="43"/>
        <v>0</v>
      </c>
      <c r="I666" s="360"/>
      <c r="J666" s="360"/>
      <c r="K666" s="360"/>
      <c r="L666" s="360"/>
      <c r="M666" s="332"/>
      <c r="N666" s="340"/>
      <c r="O666" s="341"/>
    </row>
    <row r="667" spans="1:15" ht="16.2" outlineLevel="1">
      <c r="A667" s="288"/>
      <c r="B667" s="351" t="s">
        <v>826</v>
      </c>
      <c r="C667" s="388" t="str">
        <f>IF(OR(I667&lt;&gt;0,H667&lt;&gt;0),"x"," ")</f>
        <v xml:space="preserve"> </v>
      </c>
      <c r="D667" s="338" t="str">
        <f>VLOOKUP($B667,DG!A:D,DG!$B$2,)</f>
        <v>06.3241</v>
      </c>
      <c r="E667" s="366" t="str">
        <f>VLOOKUP($B667,DG!A:D,DG!$C$2,)</f>
        <v>Lắp bộ dây néo</v>
      </c>
      <c r="F667" s="338" t="str">
        <f>VLOOKUP($B667,DG!A:D,DG!$D$2,)</f>
        <v>bộ</v>
      </c>
      <c r="G667" s="359">
        <v>1</v>
      </c>
      <c r="H667" s="354"/>
      <c r="I667" s="354"/>
      <c r="J667" s="354"/>
      <c r="K667" s="354"/>
      <c r="L667" s="354"/>
      <c r="M667" s="332"/>
      <c r="N667" s="340"/>
      <c r="O667" s="341"/>
    </row>
    <row r="668" spans="1:15" ht="16.2" outlineLevel="1">
      <c r="A668" s="288"/>
      <c r="B668" s="351" t="s">
        <v>871</v>
      </c>
      <c r="C668" s="388" t="str">
        <f>IF(OR(I668&lt;&gt;0,H668&lt;&gt;0),"x"," ")</f>
        <v xml:space="preserve"> </v>
      </c>
      <c r="D668" s="338" t="str">
        <f>VLOOKUP($B668,DG!A:D,DG!$B$2,)</f>
        <v>06.2110</v>
      </c>
      <c r="E668" s="366" t="str">
        <f>VLOOKUP($B668,DG!A:D,DG!$C$2,)</f>
        <v>Lắp cổ dề</v>
      </c>
      <c r="F668" s="338" t="str">
        <f>VLOOKUP($B668,DG!A:D,DG!$D$2,)</f>
        <v>cái</v>
      </c>
      <c r="G668" s="359">
        <v>1</v>
      </c>
      <c r="H668" s="354"/>
      <c r="I668" s="354"/>
      <c r="J668" s="354"/>
      <c r="K668" s="354"/>
      <c r="L668" s="354"/>
      <c r="M668" s="332"/>
      <c r="N668" s="340"/>
      <c r="O668" s="341"/>
    </row>
    <row r="669" spans="1:15" ht="16.2" outlineLevel="1">
      <c r="A669" s="288"/>
      <c r="B669" s="351" t="s">
        <v>831</v>
      </c>
      <c r="C669" s="388" t="str">
        <f>IF(OR(I669&lt;&gt;0,H669&lt;&gt;0),"x"," ")</f>
        <v xml:space="preserve"> </v>
      </c>
      <c r="D669" s="338" t="str">
        <f>VLOOKUP($B669,DG!A:D,DG!$B$2,)</f>
        <v>05.6011</v>
      </c>
      <c r="E669" s="366" t="str">
        <f>VLOOKUP($B669,DG!A:D,DG!$C$2,)</f>
        <v>Lắp bộ chống lệch</v>
      </c>
      <c r="F669" s="338" t="str">
        <f>VLOOKUP($B669,DG!A:D,DG!$D$2,)</f>
        <v>bộ</v>
      </c>
      <c r="G669" s="359">
        <v>1</v>
      </c>
      <c r="H669" s="354"/>
      <c r="I669" s="354"/>
      <c r="J669" s="354"/>
      <c r="K669" s="354"/>
      <c r="L669" s="354"/>
      <c r="M669" s="332"/>
      <c r="N669" s="340"/>
      <c r="O669" s="341"/>
    </row>
    <row r="670" spans="1:15" ht="16.2" outlineLevel="1">
      <c r="A670" s="288"/>
      <c r="B670" s="356" t="s">
        <v>827</v>
      </c>
      <c r="C670" s="388" t="str">
        <f>IF(OR(I670&lt;&gt;0,H670&lt;&gt;0),"x"," ")</f>
        <v xml:space="preserve"> </v>
      </c>
      <c r="D670" s="338" t="str">
        <f>VLOOKUP($B670,DG!A:C,2,)</f>
        <v>02.1421</v>
      </c>
      <c r="E670" s="366" t="str">
        <f>VLOOKUP($B670,DG!A:C,3,)</f>
        <v>V/c phụ kiện vào vị trí (cự ly &lt;=100m)</v>
      </c>
      <c r="F670" s="338" t="str">
        <f>VLOOKUP($B670,DG!A:D,4,0)</f>
        <v>tấn</v>
      </c>
      <c r="G670" s="357">
        <v>0.02</v>
      </c>
      <c r="H670" s="354"/>
      <c r="I670" s="354"/>
      <c r="J670" s="354"/>
      <c r="K670" s="354"/>
      <c r="L670" s="354"/>
      <c r="M670" s="332"/>
      <c r="N670" s="340"/>
      <c r="O670" s="341"/>
    </row>
    <row r="671" spans="1:15" ht="16.2" outlineLevel="1">
      <c r="A671" s="361" t="s">
        <v>874</v>
      </c>
      <c r="B671" s="343" t="s">
        <v>874</v>
      </c>
      <c r="C671" s="388" t="str">
        <f>IF(OR(I671&lt;&gt;0,H671&lt;&gt;0),"x"," ")</f>
        <v xml:space="preserve"> </v>
      </c>
      <c r="D671" s="345"/>
      <c r="E671" s="346" t="s">
        <v>875</v>
      </c>
      <c r="F671" s="347" t="s">
        <v>285</v>
      </c>
      <c r="G671" s="348"/>
      <c r="H671" s="349">
        <f>IFERROR(HLOOKUP(B671,'BKT-ThuHoi'!$5:$183,179,0),0)</f>
        <v>0</v>
      </c>
      <c r="I671" s="350">
        <f>H671+J671-K671</f>
        <v>0</v>
      </c>
      <c r="J671" s="350"/>
      <c r="K671" s="350"/>
      <c r="L671" s="350"/>
      <c r="M671" s="332"/>
      <c r="N671" s="340"/>
      <c r="O671" s="341"/>
    </row>
    <row r="672" spans="1:15" ht="16.2" outlineLevel="1">
      <c r="A672" s="288"/>
      <c r="B672" s="351" t="s">
        <v>868</v>
      </c>
      <c r="C672" s="388" t="str">
        <f>IF(OR(I672&lt;&gt;0,H672&lt;&gt;0),"x"," ")</f>
        <v xml:space="preserve"> </v>
      </c>
      <c r="D672" s="338"/>
      <c r="E672" s="358" t="str">
        <f>VLOOKUP($B672,DG!A:D,DG!$C$2,)&amp;"-Fe8x100 nhuùng keõm"</f>
        <v>Cổ dê Ø 195 nẹp trụ-Fe8x100 nhuùng keõm</v>
      </c>
      <c r="F672" s="338" t="str">
        <f>VLOOKUP($B672,DG!A:D,DG!$D$2,)</f>
        <v>bộ</v>
      </c>
      <c r="G672" s="359">
        <v>1</v>
      </c>
      <c r="H672" s="360">
        <f t="shared" ref="H672:H681" si="44">H$671*$G672</f>
        <v>0</v>
      </c>
      <c r="I672" s="360"/>
      <c r="J672" s="360"/>
      <c r="K672" s="360"/>
      <c r="L672" s="360"/>
      <c r="M672" s="332"/>
      <c r="N672" s="340"/>
      <c r="O672" s="341"/>
    </row>
    <row r="673" spans="1:15" ht="16.2" outlineLevel="1">
      <c r="A673" s="288"/>
      <c r="B673" s="351" t="s">
        <v>876</v>
      </c>
      <c r="C673" s="388" t="str">
        <f>IF(OR(I673&lt;&gt;0,H673&lt;&gt;0),"x"," ")</f>
        <v xml:space="preserve"> </v>
      </c>
      <c r="D673" s="338"/>
      <c r="E673" s="358" t="str">
        <f>VLOOKUP($B673,DG!A:D,DG!$C$2,)&amp;"-Fe8x100 nhuùng keõm"</f>
        <v>Cổ dê Ø 220 nẹp trụ-Fe8x100 nhuùng keõm</v>
      </c>
      <c r="F673" s="338" t="str">
        <f>VLOOKUP($B673,DG!A:D,DG!$D$2,)</f>
        <v>bộ</v>
      </c>
      <c r="G673" s="359">
        <v>1</v>
      </c>
      <c r="H673" s="360">
        <f t="shared" ref="H673" si="45">H$756*$G673</f>
        <v>0</v>
      </c>
      <c r="I673" s="360"/>
      <c r="J673" s="360"/>
      <c r="K673" s="360"/>
      <c r="L673" s="360"/>
      <c r="M673" s="332"/>
      <c r="N673" s="340"/>
      <c r="O673" s="341"/>
    </row>
    <row r="674" spans="1:15" ht="16.2" outlineLevel="1">
      <c r="A674" s="288"/>
      <c r="B674" s="351" t="s">
        <v>821</v>
      </c>
      <c r="C674" s="388" t="str">
        <f>IF(OR(I674&lt;&gt;0,H674&lt;&gt;0),"x"," ")</f>
        <v xml:space="preserve"> </v>
      </c>
      <c r="D674" s="338"/>
      <c r="E674" s="358" t="str">
        <f>VLOOKUP($B674,DG!A:D,DG!$C$2,)</f>
        <v>Sứ chằng</v>
      </c>
      <c r="F674" s="338" t="str">
        <f>VLOOKUP($B674,DG!A:D,DG!$D$2,)</f>
        <v>cái</v>
      </c>
      <c r="G674" s="359">
        <v>2</v>
      </c>
      <c r="H674" s="360">
        <f t="shared" si="44"/>
        <v>0</v>
      </c>
      <c r="I674" s="360"/>
      <c r="J674" s="360"/>
      <c r="K674" s="360"/>
      <c r="L674" s="360"/>
      <c r="M674" s="332"/>
      <c r="N674" s="340"/>
      <c r="O674" s="341"/>
    </row>
    <row r="675" spans="1:15" ht="16.2" outlineLevel="1">
      <c r="A675" s="288"/>
      <c r="B675" s="351" t="s">
        <v>822</v>
      </c>
      <c r="C675" s="388" t="str">
        <f>IF(OR(I675&lt;&gt;0,H675&lt;&gt;0),"x"," ")</f>
        <v xml:space="preserve"> </v>
      </c>
      <c r="D675" s="338"/>
      <c r="E675" s="358" t="str">
        <f>VLOOKUP($B675,DG!A:D,DG!$C$2,)</f>
        <v>Kẹp cáp 3 boulon</v>
      </c>
      <c r="F675" s="338" t="str">
        <f>VLOOKUP($B675,DG!A:D,DG!$D$2,)</f>
        <v>cái</v>
      </c>
      <c r="G675" s="359">
        <v>16</v>
      </c>
      <c r="H675" s="360">
        <f t="shared" si="44"/>
        <v>0</v>
      </c>
      <c r="I675" s="360"/>
      <c r="J675" s="360"/>
      <c r="K675" s="360"/>
      <c r="L675" s="360"/>
      <c r="M675" s="332"/>
      <c r="N675" s="340"/>
      <c r="O675" s="341"/>
    </row>
    <row r="676" spans="1:15" ht="16.2" outlineLevel="1">
      <c r="A676" s="288"/>
      <c r="B676" s="403" t="s">
        <v>1015</v>
      </c>
      <c r="C676" s="388" t="str">
        <f>IF(OR(I676&lt;&gt;0,H676&lt;&gt;0),"x"," ")</f>
        <v xml:space="preserve"> </v>
      </c>
      <c r="D676" s="338"/>
      <c r="E676" s="358" t="str">
        <f>VLOOKUP($B676,DG!A:D,DG!$C$2,)</f>
        <v>Kẹp hotline 4/0</v>
      </c>
      <c r="F676" s="338" t="str">
        <f>VLOOKUP($B676,DG!A:D,DG!$D$2,)</f>
        <v>cái</v>
      </c>
      <c r="G676" s="359">
        <v>26</v>
      </c>
      <c r="H676" s="360">
        <f t="shared" si="44"/>
        <v>0</v>
      </c>
      <c r="I676" s="360"/>
      <c r="J676" s="360"/>
      <c r="K676" s="360"/>
      <c r="L676" s="360"/>
      <c r="M676" s="332"/>
      <c r="N676" s="340"/>
      <c r="O676" s="341"/>
    </row>
    <row r="677" spans="1:15" ht="16.2" outlineLevel="1">
      <c r="A677" s="288"/>
      <c r="B677" s="351" t="s">
        <v>791</v>
      </c>
      <c r="C677" s="388" t="str">
        <f>IF(OR(I677&lt;&gt;0,H677&lt;&gt;0),"x"," ")</f>
        <v xml:space="preserve"> </v>
      </c>
      <c r="D677" s="338"/>
      <c r="E677" s="358" t="str">
        <f>VLOOKUP($B677,DG!A:D,DG!$C$2,)</f>
        <v>Sắt dẹt 60 x 6</v>
      </c>
      <c r="F677" s="338" t="str">
        <f>VLOOKUP($B677,DG!A:D,DG!$D$2,)</f>
        <v>kg</v>
      </c>
      <c r="G677" s="359">
        <v>4</v>
      </c>
      <c r="H677" s="360">
        <f t="shared" si="44"/>
        <v>0</v>
      </c>
      <c r="I677" s="360"/>
      <c r="J677" s="360"/>
      <c r="K677" s="360"/>
      <c r="L677" s="360"/>
      <c r="M677" s="332"/>
      <c r="N677" s="340"/>
      <c r="O677" s="341"/>
    </row>
    <row r="678" spans="1:15" ht="16.2" outlineLevel="1">
      <c r="A678" s="288"/>
      <c r="B678" s="351" t="s">
        <v>869</v>
      </c>
      <c r="C678" s="388" t="str">
        <f>IF(OR(I678&lt;&gt;0,H678&lt;&gt;0),"x"," ")</f>
        <v xml:space="preserve"> </v>
      </c>
      <c r="D678" s="338"/>
      <c r="E678" s="358" t="str">
        <f>VLOOKUP($B678,DG!A:D,DG!$C$2,)</f>
        <v xml:space="preserve">Móc treo chữ U </v>
      </c>
      <c r="F678" s="338" t="str">
        <f>VLOOKUP($B678,DG!A:D,DG!$D$2,)</f>
        <v>cái</v>
      </c>
      <c r="G678" s="359">
        <v>2</v>
      </c>
      <c r="H678" s="360">
        <f t="shared" si="44"/>
        <v>0</v>
      </c>
      <c r="I678" s="360"/>
      <c r="J678" s="360"/>
      <c r="K678" s="360"/>
      <c r="L678" s="360"/>
      <c r="M678" s="332"/>
      <c r="N678" s="340"/>
      <c r="O678" s="341"/>
    </row>
    <row r="679" spans="1:15" ht="16.2" outlineLevel="1">
      <c r="A679" s="288"/>
      <c r="B679" s="404" t="s">
        <v>870</v>
      </c>
      <c r="C679" s="388" t="str">
        <f>IF(OR(I679&lt;&gt;0,H679&lt;&gt;0),"x"," ")</f>
        <v xml:space="preserve"> </v>
      </c>
      <c r="D679" s="338"/>
      <c r="E679" s="358" t="str">
        <f>VLOOKUP($B679,DG!A:D,DG!$C$2,)</f>
        <v>Boulon 16x100VRS+ 4 long đền vuông D18-50x50x3/Zn</v>
      </c>
      <c r="F679" s="338" t="str">
        <f>VLOOKUP($B679,DG!A:D,DG!$D$2,)</f>
        <v>bộ</v>
      </c>
      <c r="G679" s="359">
        <v>4</v>
      </c>
      <c r="H679" s="360">
        <f t="shared" si="44"/>
        <v>0</v>
      </c>
      <c r="I679" s="360"/>
      <c r="J679" s="360"/>
      <c r="K679" s="360"/>
      <c r="L679" s="360"/>
      <c r="M679" s="332"/>
      <c r="N679" s="340"/>
      <c r="O679" s="341"/>
    </row>
    <row r="680" spans="1:15" ht="16.2" outlineLevel="1">
      <c r="A680" s="288"/>
      <c r="B680" s="351" t="s">
        <v>824</v>
      </c>
      <c r="C680" s="388" t="str">
        <f>IF(OR(I680&lt;&gt;0,H680&lt;&gt;0),"x"," ")</f>
        <v xml:space="preserve"> </v>
      </c>
      <c r="D680" s="338"/>
      <c r="E680" s="358" t="str">
        <f>VLOOKUP($B680,DG!A:D,DG!$C$2,)</f>
        <v>Yếm cáp dày 2mm</v>
      </c>
      <c r="F680" s="338" t="str">
        <f>VLOOKUP($B680,DG!A:D,DG!$D$2,)</f>
        <v>cái</v>
      </c>
      <c r="G680" s="359">
        <v>4</v>
      </c>
      <c r="H680" s="360">
        <f t="shared" si="44"/>
        <v>0</v>
      </c>
      <c r="I680" s="360"/>
      <c r="J680" s="360"/>
      <c r="K680" s="360"/>
      <c r="L680" s="360"/>
      <c r="M680" s="332"/>
      <c r="N680" s="340"/>
      <c r="O680" s="341"/>
    </row>
    <row r="681" spans="1:15" ht="16.2" outlineLevel="1">
      <c r="A681" s="288"/>
      <c r="B681" s="351" t="s">
        <v>825</v>
      </c>
      <c r="C681" s="388" t="str">
        <f>IF(OR(I681&lt;&gt;0,H681&lt;&gt;0),"x"," ")</f>
        <v xml:space="preserve"> </v>
      </c>
      <c r="D681" s="338"/>
      <c r="E681" s="358" t="str">
        <f>VLOOKUP($B681,DG!A:D,DG!$C$2,)</f>
        <v>Máng che dây chằng dày 1,6mm</v>
      </c>
      <c r="F681" s="338" t="str">
        <f>VLOOKUP($B681,DG!A:D,DG!$D$2,)</f>
        <v>cái</v>
      </c>
      <c r="G681" s="359">
        <v>2</v>
      </c>
      <c r="H681" s="360">
        <f t="shared" si="44"/>
        <v>0</v>
      </c>
      <c r="I681" s="360"/>
      <c r="J681" s="360"/>
      <c r="K681" s="360"/>
      <c r="L681" s="360"/>
      <c r="M681" s="332"/>
      <c r="N681" s="340"/>
      <c r="O681" s="341"/>
    </row>
    <row r="682" spans="1:15" ht="16.2" outlineLevel="1">
      <c r="A682" s="288"/>
      <c r="B682" s="351" t="s">
        <v>826</v>
      </c>
      <c r="C682" s="388" t="str">
        <f>IF(OR(I682&lt;&gt;0,H682&lt;&gt;0),"x"," ")</f>
        <v xml:space="preserve"> </v>
      </c>
      <c r="D682" s="338" t="str">
        <f>VLOOKUP($B682,DG!A:D,DG!$B$2,)</f>
        <v>06.3241</v>
      </c>
      <c r="E682" s="366" t="str">
        <f>VLOOKUP($B682,DG!A:D,DG!$C$2,)</f>
        <v>Lắp bộ dây néo</v>
      </c>
      <c r="F682" s="338" t="str">
        <f>VLOOKUP($B682,DG!A:D,DG!$D$2,)</f>
        <v>bộ</v>
      </c>
      <c r="G682" s="359">
        <v>2</v>
      </c>
      <c r="H682" s="354"/>
      <c r="I682" s="354"/>
      <c r="J682" s="354"/>
      <c r="K682" s="354"/>
      <c r="L682" s="354"/>
      <c r="M682" s="332"/>
      <c r="N682" s="340"/>
      <c r="O682" s="341"/>
    </row>
    <row r="683" spans="1:15" ht="16.2" outlineLevel="1">
      <c r="A683" s="288"/>
      <c r="B683" s="351" t="s">
        <v>871</v>
      </c>
      <c r="C683" s="388" t="str">
        <f>IF(OR(I683&lt;&gt;0,H683&lt;&gt;0),"x"," ")</f>
        <v xml:space="preserve"> </v>
      </c>
      <c r="D683" s="338" t="str">
        <f>VLOOKUP($B683,DG!A:D,DG!$B$2,)</f>
        <v>06.2110</v>
      </c>
      <c r="E683" s="366" t="str">
        <f>VLOOKUP($B683,DG!A:D,DG!$C$2,)</f>
        <v>Lắp cổ dề</v>
      </c>
      <c r="F683" s="338" t="str">
        <f>VLOOKUP($B683,DG!A:D,DG!$D$2,)</f>
        <v>cái</v>
      </c>
      <c r="G683" s="359">
        <v>2</v>
      </c>
      <c r="H683" s="354"/>
      <c r="I683" s="354"/>
      <c r="J683" s="354"/>
      <c r="K683" s="354"/>
      <c r="L683" s="354"/>
      <c r="M683" s="332"/>
      <c r="N683" s="340"/>
      <c r="O683" s="341"/>
    </row>
    <row r="684" spans="1:15" ht="16.2" outlineLevel="1">
      <c r="A684" s="288"/>
      <c r="B684" s="356" t="s">
        <v>827</v>
      </c>
      <c r="C684" s="388" t="str">
        <f>IF(OR(I684&lt;&gt;0,H684&lt;&gt;0),"x"," ")</f>
        <v xml:space="preserve"> </v>
      </c>
      <c r="D684" s="338" t="str">
        <f>VLOOKUP($B684,DG!A:C,2,)</f>
        <v>02.1421</v>
      </c>
      <c r="E684" s="366" t="str">
        <f>VLOOKUP($B684,DG!A:C,3,)</f>
        <v>V/c phụ kiện vào vị trí (cự ly &lt;=100m)</v>
      </c>
      <c r="F684" s="338" t="str">
        <f>VLOOKUP($B684,DG!A:D,4,0)</f>
        <v>tấn</v>
      </c>
      <c r="G684" s="357">
        <v>0.02</v>
      </c>
      <c r="H684" s="354"/>
      <c r="I684" s="354"/>
      <c r="J684" s="354"/>
      <c r="K684" s="354"/>
      <c r="L684" s="354"/>
      <c r="M684" s="332"/>
      <c r="N684" s="340"/>
      <c r="O684" s="341"/>
    </row>
    <row r="685" spans="1:15" ht="16.2" outlineLevel="1">
      <c r="A685" s="342" t="s">
        <v>877</v>
      </c>
      <c r="B685" s="343" t="s">
        <v>877</v>
      </c>
      <c r="C685" s="388" t="str">
        <f>IF(OR(I685&lt;&gt;0,H685&lt;&gt;0),"x"," ")</f>
        <v xml:space="preserve"> </v>
      </c>
      <c r="D685" s="345"/>
      <c r="E685" s="346" t="s">
        <v>878</v>
      </c>
      <c r="F685" s="347" t="s">
        <v>285</v>
      </c>
      <c r="G685" s="348"/>
      <c r="H685" s="349">
        <f>IFERROR(HLOOKUP(B685,'BKT-ThuHoi'!$5:$183,179,0),0)</f>
        <v>0</v>
      </c>
      <c r="I685" s="350">
        <f>H685+J685-K685</f>
        <v>0</v>
      </c>
      <c r="J685" s="350"/>
      <c r="K685" s="350"/>
      <c r="L685" s="350"/>
      <c r="M685" s="332"/>
      <c r="N685" s="340"/>
      <c r="O685" s="341"/>
    </row>
    <row r="686" spans="1:15" ht="16.2" outlineLevel="1">
      <c r="A686" s="288"/>
      <c r="B686" s="351" t="s">
        <v>868</v>
      </c>
      <c r="C686" s="388" t="str">
        <f>IF(OR(I686&lt;&gt;0,H686&lt;&gt;0),"x"," ")</f>
        <v xml:space="preserve"> </v>
      </c>
      <c r="D686" s="338"/>
      <c r="E686" s="358" t="str">
        <f>VLOOKUP($B686,DG!A:D,DG!$C$2,)&amp;"-Fe8x100 nhuùng keõm"</f>
        <v>Cổ dê Ø 195 nẹp trụ-Fe8x100 nhuùng keõm</v>
      </c>
      <c r="F686" s="338" t="str">
        <f>VLOOKUP($B686,DG!A:D,DG!$D$2,)</f>
        <v>bộ</v>
      </c>
      <c r="G686" s="359">
        <v>1</v>
      </c>
      <c r="H686" s="360">
        <f t="shared" ref="H686:H694" si="46">H$685*$G686</f>
        <v>0</v>
      </c>
      <c r="I686" s="360"/>
      <c r="J686" s="360"/>
      <c r="K686" s="360"/>
      <c r="L686" s="360"/>
      <c r="M686" s="332"/>
      <c r="N686" s="340"/>
      <c r="O686" s="341"/>
    </row>
    <row r="687" spans="1:15" ht="16.2" outlineLevel="1">
      <c r="A687" s="288"/>
      <c r="B687" s="351" t="s">
        <v>821</v>
      </c>
      <c r="C687" s="388" t="str">
        <f>IF(OR(I687&lt;&gt;0,H687&lt;&gt;0),"x"," ")</f>
        <v xml:space="preserve"> </v>
      </c>
      <c r="D687" s="338"/>
      <c r="E687" s="358" t="str">
        <f>VLOOKUP($B687,DG!A:D,DG!$C$2,)</f>
        <v>Sứ chằng</v>
      </c>
      <c r="F687" s="338" t="str">
        <f>VLOOKUP($B687,DG!A:D,DG!$D$2,)</f>
        <v>cái</v>
      </c>
      <c r="G687" s="359">
        <v>1</v>
      </c>
      <c r="H687" s="360">
        <f t="shared" si="46"/>
        <v>0</v>
      </c>
      <c r="I687" s="360"/>
      <c r="J687" s="360"/>
      <c r="K687" s="360"/>
      <c r="L687" s="360"/>
      <c r="M687" s="332"/>
      <c r="N687" s="340"/>
      <c r="O687" s="341"/>
    </row>
    <row r="688" spans="1:15" ht="16.2" outlineLevel="1">
      <c r="A688" s="288"/>
      <c r="B688" s="351" t="s">
        <v>822</v>
      </c>
      <c r="C688" s="388" t="str">
        <f>IF(OR(I688&lt;&gt;0,H688&lt;&gt;0),"x"," ")</f>
        <v xml:space="preserve"> </v>
      </c>
      <c r="D688" s="338"/>
      <c r="E688" s="358" t="str">
        <f>VLOOKUP($B688,DG!A:D,DG!$C$2,)</f>
        <v>Kẹp cáp 3 boulon</v>
      </c>
      <c r="F688" s="338" t="str">
        <f>VLOOKUP($B688,DG!A:D,DG!$D$2,)</f>
        <v>cái</v>
      </c>
      <c r="G688" s="359">
        <v>8</v>
      </c>
      <c r="H688" s="360">
        <f t="shared" si="46"/>
        <v>0</v>
      </c>
      <c r="I688" s="360"/>
      <c r="J688" s="360"/>
      <c r="K688" s="360"/>
      <c r="L688" s="360"/>
      <c r="M688" s="332"/>
      <c r="N688" s="340"/>
      <c r="O688" s="341"/>
    </row>
    <row r="689" spans="1:15" ht="16.2" outlineLevel="1">
      <c r="A689" s="288"/>
      <c r="B689" s="403" t="s">
        <v>1015</v>
      </c>
      <c r="C689" s="388" t="str">
        <f>IF(OR(I689&lt;&gt;0,H689&lt;&gt;0),"x"," ")</f>
        <v xml:space="preserve"> </v>
      </c>
      <c r="D689" s="338"/>
      <c r="E689" s="358" t="str">
        <f>VLOOKUP($B689,DG!A:D,DG!$C$2,)</f>
        <v>Kẹp hotline 4/0</v>
      </c>
      <c r="F689" s="338" t="str">
        <f>VLOOKUP($B689,DG!A:D,DG!$D$2,)</f>
        <v>cái</v>
      </c>
      <c r="G689" s="359">
        <v>17</v>
      </c>
      <c r="H689" s="360">
        <f t="shared" si="46"/>
        <v>0</v>
      </c>
      <c r="I689" s="360"/>
      <c r="J689" s="360"/>
      <c r="K689" s="360"/>
      <c r="L689" s="360"/>
      <c r="M689" s="332"/>
      <c r="N689" s="340"/>
      <c r="O689" s="341"/>
    </row>
    <row r="690" spans="1:15" ht="16.2" outlineLevel="1">
      <c r="A690" s="288"/>
      <c r="B690" s="351" t="s">
        <v>791</v>
      </c>
      <c r="C690" s="388" t="str">
        <f>IF(OR(I690&lt;&gt;0,H690&lt;&gt;0),"x"," ")</f>
        <v xml:space="preserve"> </v>
      </c>
      <c r="D690" s="338"/>
      <c r="E690" s="358" t="str">
        <f>VLOOKUP($B690,DG!A:D,DG!$C$2,)</f>
        <v>Sắt dẹt 60 x 6</v>
      </c>
      <c r="F690" s="338" t="str">
        <f>VLOOKUP($B690,DG!A:D,DG!$D$2,)</f>
        <v>kg</v>
      </c>
      <c r="G690" s="359">
        <v>2</v>
      </c>
      <c r="H690" s="360">
        <f t="shared" si="46"/>
        <v>0</v>
      </c>
      <c r="I690" s="360"/>
      <c r="J690" s="360"/>
      <c r="K690" s="360"/>
      <c r="L690" s="360"/>
      <c r="M690" s="332"/>
      <c r="N690" s="340"/>
      <c r="O690" s="341"/>
    </row>
    <row r="691" spans="1:15" ht="16.2" outlineLevel="1">
      <c r="A691" s="288"/>
      <c r="B691" s="351" t="s">
        <v>869</v>
      </c>
      <c r="C691" s="388" t="str">
        <f>IF(OR(I691&lt;&gt;0,H691&lt;&gt;0),"x"," ")</f>
        <v xml:space="preserve"> </v>
      </c>
      <c r="D691" s="338"/>
      <c r="E691" s="358" t="str">
        <f>VLOOKUP($B691,DG!A:D,DG!$C$2,)</f>
        <v xml:space="preserve">Móc treo chữ U </v>
      </c>
      <c r="F691" s="338" t="str">
        <f>VLOOKUP($B691,DG!A:D,DG!$D$2,)</f>
        <v>cái</v>
      </c>
      <c r="G691" s="359">
        <v>1</v>
      </c>
      <c r="H691" s="360">
        <f t="shared" si="46"/>
        <v>0</v>
      </c>
      <c r="I691" s="360"/>
      <c r="J691" s="360"/>
      <c r="K691" s="360"/>
      <c r="L691" s="360"/>
      <c r="M691" s="332"/>
      <c r="N691" s="340"/>
      <c r="O691" s="341"/>
    </row>
    <row r="692" spans="1:15" ht="16.2" outlineLevel="1">
      <c r="A692" s="288"/>
      <c r="B692" s="404" t="s">
        <v>870</v>
      </c>
      <c r="C692" s="388" t="str">
        <f>IF(OR(I692&lt;&gt;0,H692&lt;&gt;0),"x"," ")</f>
        <v xml:space="preserve"> </v>
      </c>
      <c r="D692" s="338"/>
      <c r="E692" s="358" t="str">
        <f>VLOOKUP($B692,DG!A:D,DG!$C$2,)</f>
        <v>Boulon 16x100VRS+ 4 long đền vuông D18-50x50x3/Zn</v>
      </c>
      <c r="F692" s="338" t="str">
        <f>VLOOKUP($B692,DG!A:D,DG!$D$2,)</f>
        <v>bộ</v>
      </c>
      <c r="G692" s="359">
        <v>2</v>
      </c>
      <c r="H692" s="360">
        <f t="shared" si="46"/>
        <v>0</v>
      </c>
      <c r="I692" s="360"/>
      <c r="J692" s="360"/>
      <c r="K692" s="360"/>
      <c r="L692" s="360"/>
      <c r="M692" s="332"/>
      <c r="N692" s="340"/>
      <c r="O692" s="341"/>
    </row>
    <row r="693" spans="1:15" ht="16.2" outlineLevel="1">
      <c r="A693" s="288"/>
      <c r="B693" s="351" t="s">
        <v>824</v>
      </c>
      <c r="C693" s="388" t="str">
        <f>IF(OR(I693&lt;&gt;0,H693&lt;&gt;0),"x"," ")</f>
        <v xml:space="preserve"> </v>
      </c>
      <c r="D693" s="338"/>
      <c r="E693" s="358" t="str">
        <f>VLOOKUP($B693,DG!A:D,DG!$C$2,)</f>
        <v>Yếm cáp dày 2mm</v>
      </c>
      <c r="F693" s="338" t="str">
        <f>VLOOKUP($B693,DG!A:D,DG!$D$2,)</f>
        <v>cái</v>
      </c>
      <c r="G693" s="359">
        <v>2</v>
      </c>
      <c r="H693" s="360">
        <f t="shared" si="46"/>
        <v>0</v>
      </c>
      <c r="I693" s="360"/>
      <c r="J693" s="360"/>
      <c r="K693" s="360"/>
      <c r="L693" s="360"/>
      <c r="M693" s="332"/>
      <c r="N693" s="340"/>
      <c r="O693" s="341"/>
    </row>
    <row r="694" spans="1:15" ht="16.2" outlineLevel="1">
      <c r="A694" s="288"/>
      <c r="B694" s="351" t="s">
        <v>825</v>
      </c>
      <c r="C694" s="388" t="str">
        <f>IF(OR(I694&lt;&gt;0,H694&lt;&gt;0),"x"," ")</f>
        <v xml:space="preserve"> </v>
      </c>
      <c r="D694" s="338"/>
      <c r="E694" s="358" t="str">
        <f>VLOOKUP($B694,DG!A:D,DG!$C$2,)</f>
        <v>Máng che dây chằng dày 1,6mm</v>
      </c>
      <c r="F694" s="338" t="str">
        <f>VLOOKUP($B694,DG!A:D,DG!$D$2,)</f>
        <v>cái</v>
      </c>
      <c r="G694" s="359">
        <v>1</v>
      </c>
      <c r="H694" s="360">
        <f t="shared" si="46"/>
        <v>0</v>
      </c>
      <c r="I694" s="360"/>
      <c r="J694" s="360"/>
      <c r="K694" s="360"/>
      <c r="L694" s="360"/>
      <c r="M694" s="332"/>
      <c r="N694" s="340"/>
      <c r="O694" s="341"/>
    </row>
    <row r="695" spans="1:15" ht="16.2" outlineLevel="1">
      <c r="A695" s="288"/>
      <c r="B695" s="351" t="s">
        <v>826</v>
      </c>
      <c r="C695" s="388" t="str">
        <f>IF(OR(I695&lt;&gt;0,H695&lt;&gt;0),"x"," ")</f>
        <v xml:space="preserve"> </v>
      </c>
      <c r="D695" s="338" t="str">
        <f>VLOOKUP($B695,DG!A:D,DG!$B$2,)</f>
        <v>06.3241</v>
      </c>
      <c r="E695" s="366" t="str">
        <f>VLOOKUP($B695,DG!A:D,DG!$C$2,)</f>
        <v>Lắp bộ dây néo</v>
      </c>
      <c r="F695" s="338" t="str">
        <f>VLOOKUP($B695,DG!A:D,DG!$D$2,)</f>
        <v>bộ</v>
      </c>
      <c r="G695" s="359">
        <f>G686</f>
        <v>1</v>
      </c>
      <c r="H695" s="354"/>
      <c r="I695" s="354"/>
      <c r="J695" s="354"/>
      <c r="K695" s="354"/>
      <c r="L695" s="354"/>
      <c r="M695" s="332"/>
      <c r="N695" s="340"/>
      <c r="O695" s="341"/>
    </row>
    <row r="696" spans="1:15" ht="16.2" outlineLevel="1">
      <c r="A696" s="288"/>
      <c r="B696" s="351" t="s">
        <v>871</v>
      </c>
      <c r="C696" s="388" t="str">
        <f>IF(OR(I696&lt;&gt;0,H696&lt;&gt;0),"x"," ")</f>
        <v xml:space="preserve"> </v>
      </c>
      <c r="D696" s="338" t="str">
        <f>VLOOKUP($B696,DG!A:D,DG!$B$2,)</f>
        <v>06.2110</v>
      </c>
      <c r="E696" s="366" t="str">
        <f>VLOOKUP($B696,DG!A:D,DG!$C$2,)</f>
        <v>Lắp cổ dề</v>
      </c>
      <c r="F696" s="338" t="str">
        <f>VLOOKUP($B696,DG!A:D,DG!$D$2,)</f>
        <v>cái</v>
      </c>
      <c r="G696" s="359">
        <v>1</v>
      </c>
      <c r="H696" s="354"/>
      <c r="I696" s="354"/>
      <c r="J696" s="354"/>
      <c r="K696" s="354"/>
      <c r="L696" s="354"/>
      <c r="M696" s="332"/>
      <c r="N696" s="340"/>
      <c r="O696" s="341"/>
    </row>
    <row r="697" spans="1:15" ht="16.2" outlineLevel="1">
      <c r="A697" s="288"/>
      <c r="B697" s="356" t="s">
        <v>827</v>
      </c>
      <c r="C697" s="388" t="str">
        <f>IF(OR(I697&lt;&gt;0,H697&lt;&gt;0),"x"," ")</f>
        <v xml:space="preserve"> </v>
      </c>
      <c r="D697" s="338" t="str">
        <f>VLOOKUP($B697,DG!A:C,2,)</f>
        <v>02.1421</v>
      </c>
      <c r="E697" s="366" t="str">
        <f>VLOOKUP($B697,DG!A:C,3,)</f>
        <v>V/c phụ kiện vào vị trí (cự ly &lt;=100m)</v>
      </c>
      <c r="F697" s="338" t="str">
        <f>VLOOKUP($B697,DG!A:D,4,0)</f>
        <v>tấn</v>
      </c>
      <c r="G697" s="357">
        <v>0.02</v>
      </c>
      <c r="H697" s="354"/>
      <c r="I697" s="354"/>
      <c r="J697" s="354"/>
      <c r="K697" s="354"/>
      <c r="L697" s="354"/>
      <c r="M697" s="332"/>
      <c r="N697" s="340"/>
      <c r="O697" s="341"/>
    </row>
    <row r="698" spans="1:15" ht="16.2" outlineLevel="1">
      <c r="A698" s="342" t="s">
        <v>879</v>
      </c>
      <c r="B698" s="343" t="s">
        <v>879</v>
      </c>
      <c r="C698" s="388" t="str">
        <f>IF(OR(I698&lt;&gt;0,H698&lt;&gt;0),"x"," ")</f>
        <v xml:space="preserve"> </v>
      </c>
      <c r="D698" s="345"/>
      <c r="E698" s="346" t="s">
        <v>880</v>
      </c>
      <c r="F698" s="347" t="s">
        <v>285</v>
      </c>
      <c r="G698" s="348"/>
      <c r="H698" s="349">
        <f>IFERROR(HLOOKUP(B698,'BKT-ThuHoi'!$5:$183,179,0),0)</f>
        <v>0</v>
      </c>
      <c r="I698" s="350">
        <f>H698+J698-K698</f>
        <v>0</v>
      </c>
      <c r="J698" s="350"/>
      <c r="K698" s="350"/>
      <c r="L698" s="350"/>
      <c r="M698" s="332"/>
      <c r="N698" s="340"/>
      <c r="O698" s="341"/>
    </row>
    <row r="699" spans="1:15" ht="16.2" outlineLevel="1">
      <c r="A699" s="288"/>
      <c r="B699" s="351" t="s">
        <v>868</v>
      </c>
      <c r="C699" s="388" t="str">
        <f>IF(OR(I699&lt;&gt;0,H699&lt;&gt;0),"x"," ")</f>
        <v xml:space="preserve"> </v>
      </c>
      <c r="D699" s="338"/>
      <c r="E699" s="358" t="str">
        <f>VLOOKUP($B699,DG!A:D,DG!$C$2,)&amp;"-Fe8x100 nhuùng keõm"</f>
        <v>Cổ dê Ø 195 nẹp trụ-Fe8x100 nhuùng keõm</v>
      </c>
      <c r="F699" s="338" t="str">
        <f>VLOOKUP($B699,DG!A:D,DG!$D$2,)</f>
        <v>bộ</v>
      </c>
      <c r="G699" s="359">
        <v>1</v>
      </c>
      <c r="H699" s="360">
        <f t="shared" ref="H699:H708" si="47">H$698*$G699</f>
        <v>0</v>
      </c>
      <c r="I699" s="360"/>
      <c r="J699" s="360"/>
      <c r="K699" s="360"/>
      <c r="L699" s="360"/>
      <c r="M699" s="332"/>
      <c r="N699" s="340"/>
      <c r="O699" s="341"/>
    </row>
    <row r="700" spans="1:15" ht="16.2" outlineLevel="1">
      <c r="A700" s="288"/>
      <c r="B700" s="351" t="s">
        <v>821</v>
      </c>
      <c r="C700" s="388" t="str">
        <f>IF(OR(I700&lt;&gt;0,H700&lt;&gt;0),"x"," ")</f>
        <v xml:space="preserve"> </v>
      </c>
      <c r="D700" s="338"/>
      <c r="E700" s="358" t="str">
        <f>VLOOKUP($B700,DG!A:D,DG!$C$2,)</f>
        <v>Sứ chằng</v>
      </c>
      <c r="F700" s="338" t="str">
        <f>VLOOKUP($B700,DG!A:D,DG!$D$2,)</f>
        <v>cái</v>
      </c>
      <c r="G700" s="359">
        <v>1</v>
      </c>
      <c r="H700" s="360">
        <f t="shared" si="47"/>
        <v>0</v>
      </c>
      <c r="I700" s="360"/>
      <c r="J700" s="360"/>
      <c r="K700" s="360"/>
      <c r="L700" s="360"/>
      <c r="M700" s="332"/>
      <c r="N700" s="340"/>
      <c r="O700" s="341"/>
    </row>
    <row r="701" spans="1:15" ht="16.2" outlineLevel="1">
      <c r="A701" s="288"/>
      <c r="B701" s="351" t="s">
        <v>822</v>
      </c>
      <c r="C701" s="388" t="str">
        <f>IF(OR(I701&lt;&gt;0,H701&lt;&gt;0),"x"," ")</f>
        <v xml:space="preserve"> </v>
      </c>
      <c r="D701" s="338"/>
      <c r="E701" s="358" t="str">
        <f>VLOOKUP($B701,DG!A:D,DG!$C$2,)</f>
        <v>Kẹp cáp 3 boulon</v>
      </c>
      <c r="F701" s="338" t="str">
        <f>VLOOKUP($B701,DG!A:D,DG!$D$2,)</f>
        <v>cái</v>
      </c>
      <c r="G701" s="359">
        <v>8</v>
      </c>
      <c r="H701" s="360">
        <f t="shared" si="47"/>
        <v>0</v>
      </c>
      <c r="I701" s="360"/>
      <c r="J701" s="360"/>
      <c r="K701" s="360"/>
      <c r="L701" s="360"/>
      <c r="M701" s="332"/>
      <c r="N701" s="340"/>
      <c r="O701" s="341"/>
    </row>
    <row r="702" spans="1:15" ht="16.2" outlineLevel="1">
      <c r="A702" s="288"/>
      <c r="B702" s="403" t="s">
        <v>1015</v>
      </c>
      <c r="C702" s="388" t="str">
        <f>IF(OR(I702&lt;&gt;0,H702&lt;&gt;0),"x"," ")</f>
        <v xml:space="preserve"> </v>
      </c>
      <c r="D702" s="338"/>
      <c r="E702" s="358" t="str">
        <f>VLOOKUP($B702,DG!A:D,DG!$C$2,)</f>
        <v>Kẹp hotline 4/0</v>
      </c>
      <c r="F702" s="338" t="str">
        <f>VLOOKUP($B702,DG!A:D,DG!$D$2,)</f>
        <v>cái</v>
      </c>
      <c r="G702" s="359">
        <v>13</v>
      </c>
      <c r="H702" s="360">
        <f t="shared" si="47"/>
        <v>0</v>
      </c>
      <c r="I702" s="360"/>
      <c r="J702" s="360"/>
      <c r="K702" s="360"/>
      <c r="L702" s="360"/>
      <c r="M702" s="332"/>
      <c r="N702" s="340"/>
      <c r="O702" s="341"/>
    </row>
    <row r="703" spans="1:15" ht="16.2" outlineLevel="1">
      <c r="A703" s="288"/>
      <c r="B703" s="351" t="s">
        <v>841</v>
      </c>
      <c r="C703" s="388" t="str">
        <f>IF(OR(I703&lt;&gt;0,H703&lt;&gt;0),"x"," ")</f>
        <v xml:space="preserve"> </v>
      </c>
      <c r="D703" s="338"/>
      <c r="E703" s="358" t="str">
        <f>VLOOKUP($B703,DG!A:D,DG!$C$2,)</f>
        <v>Bộ chống chằng hẹp Ø60/50x1500+2BL12x40+BL16x250/80</v>
      </c>
      <c r="F703" s="338" t="str">
        <f>VLOOKUP($B703,DG!A:D,DG!$D$2,)</f>
        <v>bộ</v>
      </c>
      <c r="G703" s="359">
        <v>1</v>
      </c>
      <c r="H703" s="360">
        <f t="shared" si="47"/>
        <v>0</v>
      </c>
      <c r="I703" s="360"/>
      <c r="J703" s="360"/>
      <c r="K703" s="360"/>
      <c r="L703" s="360"/>
      <c r="M703" s="332"/>
      <c r="N703" s="340"/>
      <c r="O703" s="341"/>
    </row>
    <row r="704" spans="1:15" ht="16.2" outlineLevel="1">
      <c r="A704" s="288"/>
      <c r="B704" s="351" t="s">
        <v>791</v>
      </c>
      <c r="C704" s="388" t="str">
        <f>IF(OR(I704&lt;&gt;0,H704&lt;&gt;0),"x"," ")</f>
        <v xml:space="preserve"> </v>
      </c>
      <c r="D704" s="338"/>
      <c r="E704" s="358" t="str">
        <f>VLOOKUP($B704,DG!A:D,DG!$C$2,)</f>
        <v>Sắt dẹt 60 x 6</v>
      </c>
      <c r="F704" s="338" t="str">
        <f>VLOOKUP($B704,DG!A:D,DG!$D$2,)</f>
        <v>kg</v>
      </c>
      <c r="G704" s="359">
        <v>2</v>
      </c>
      <c r="H704" s="360">
        <f t="shared" si="47"/>
        <v>0</v>
      </c>
      <c r="I704" s="360"/>
      <c r="J704" s="360"/>
      <c r="K704" s="360"/>
      <c r="L704" s="360"/>
      <c r="M704" s="332"/>
      <c r="N704" s="340"/>
      <c r="O704" s="341"/>
    </row>
    <row r="705" spans="1:15" ht="16.2" outlineLevel="1">
      <c r="A705" s="288"/>
      <c r="B705" s="351" t="s">
        <v>869</v>
      </c>
      <c r="C705" s="388" t="str">
        <f>IF(OR(I705&lt;&gt;0,H705&lt;&gt;0),"x"," ")</f>
        <v xml:space="preserve"> </v>
      </c>
      <c r="D705" s="338"/>
      <c r="E705" s="358" t="str">
        <f>VLOOKUP($B705,DG!A:D,DG!$C$2,)</f>
        <v xml:space="preserve">Móc treo chữ U </v>
      </c>
      <c r="F705" s="338" t="str">
        <f>VLOOKUP($B705,DG!A:D,DG!$D$2,)</f>
        <v>cái</v>
      </c>
      <c r="G705" s="359">
        <v>1</v>
      </c>
      <c r="H705" s="360">
        <f t="shared" si="47"/>
        <v>0</v>
      </c>
      <c r="I705" s="360"/>
      <c r="J705" s="360"/>
      <c r="K705" s="360"/>
      <c r="L705" s="360"/>
      <c r="M705" s="332"/>
      <c r="N705" s="340"/>
      <c r="O705" s="341"/>
    </row>
    <row r="706" spans="1:15" ht="16.2" outlineLevel="1">
      <c r="A706" s="288"/>
      <c r="B706" s="404" t="s">
        <v>870</v>
      </c>
      <c r="C706" s="388" t="str">
        <f>IF(OR(I706&lt;&gt;0,H706&lt;&gt;0),"x"," ")</f>
        <v xml:space="preserve"> </v>
      </c>
      <c r="D706" s="338"/>
      <c r="E706" s="358" t="str">
        <f>VLOOKUP($B706,DG!A:D,DG!$C$2,)</f>
        <v>Boulon 16x100VRS+ 4 long đền vuông D18-50x50x3/Zn</v>
      </c>
      <c r="F706" s="338" t="str">
        <f>VLOOKUP($B706,DG!A:D,DG!$D$2,)</f>
        <v>bộ</v>
      </c>
      <c r="G706" s="359">
        <v>2</v>
      </c>
      <c r="H706" s="360">
        <f t="shared" si="47"/>
        <v>0</v>
      </c>
      <c r="I706" s="360"/>
      <c r="J706" s="360"/>
      <c r="K706" s="360"/>
      <c r="L706" s="360"/>
      <c r="M706" s="332"/>
      <c r="N706" s="340"/>
      <c r="O706" s="341"/>
    </row>
    <row r="707" spans="1:15" ht="16.2" outlineLevel="1">
      <c r="A707" s="288"/>
      <c r="B707" s="351" t="s">
        <v>824</v>
      </c>
      <c r="C707" s="388" t="str">
        <f>IF(OR(I707&lt;&gt;0,H707&lt;&gt;0),"x"," ")</f>
        <v xml:space="preserve"> </v>
      </c>
      <c r="D707" s="338"/>
      <c r="E707" s="358" t="str">
        <f>VLOOKUP($B707,DG!A:D,DG!$C$2,)</f>
        <v>Yếm cáp dày 2mm</v>
      </c>
      <c r="F707" s="338" t="str">
        <f>VLOOKUP($B707,DG!A:D,DG!$D$2,)</f>
        <v>cái</v>
      </c>
      <c r="G707" s="359">
        <v>2</v>
      </c>
      <c r="H707" s="360">
        <f t="shared" si="47"/>
        <v>0</v>
      </c>
      <c r="I707" s="360"/>
      <c r="J707" s="360"/>
      <c r="K707" s="360"/>
      <c r="L707" s="360"/>
      <c r="M707" s="332"/>
      <c r="N707" s="340"/>
      <c r="O707" s="341"/>
    </row>
    <row r="708" spans="1:15" ht="16.2" outlineLevel="1">
      <c r="A708" s="288"/>
      <c r="B708" s="351" t="s">
        <v>825</v>
      </c>
      <c r="C708" s="388" t="str">
        <f>IF(OR(I708&lt;&gt;0,H708&lt;&gt;0),"x"," ")</f>
        <v xml:space="preserve"> </v>
      </c>
      <c r="D708" s="338"/>
      <c r="E708" s="358" t="str">
        <f>VLOOKUP($B708,DG!A:D,DG!$C$2,)</f>
        <v>Máng che dây chằng dày 1,6mm</v>
      </c>
      <c r="F708" s="338" t="str">
        <f>VLOOKUP($B708,DG!A:D,DG!$D$2,)</f>
        <v>cái</v>
      </c>
      <c r="G708" s="359">
        <v>1</v>
      </c>
      <c r="H708" s="360">
        <f t="shared" si="47"/>
        <v>0</v>
      </c>
      <c r="I708" s="360"/>
      <c r="J708" s="360"/>
      <c r="K708" s="360"/>
      <c r="L708" s="360"/>
      <c r="M708" s="332"/>
      <c r="N708" s="340"/>
      <c r="O708" s="341"/>
    </row>
    <row r="709" spans="1:15" ht="16.2" outlineLevel="1">
      <c r="A709" s="288"/>
      <c r="B709" s="351" t="s">
        <v>826</v>
      </c>
      <c r="C709" s="388" t="str">
        <f>IF(OR(I709&lt;&gt;0,H709&lt;&gt;0),"x"," ")</f>
        <v xml:space="preserve"> </v>
      </c>
      <c r="D709" s="338" t="str">
        <f>VLOOKUP($B709,DG!A:D,DG!$B$2,)</f>
        <v>06.3241</v>
      </c>
      <c r="E709" s="366" t="str">
        <f>VLOOKUP($B709,DG!A:D,DG!$C$2,)</f>
        <v>Lắp bộ dây néo</v>
      </c>
      <c r="F709" s="338" t="str">
        <f>VLOOKUP($B709,DG!A:D,DG!$D$2,)</f>
        <v>bộ</v>
      </c>
      <c r="G709" s="359">
        <f>G699</f>
        <v>1</v>
      </c>
      <c r="H709" s="354"/>
      <c r="I709" s="354"/>
      <c r="J709" s="354"/>
      <c r="K709" s="354"/>
      <c r="L709" s="354"/>
      <c r="M709" s="332"/>
      <c r="N709" s="340"/>
      <c r="O709" s="341"/>
    </row>
    <row r="710" spans="1:15" ht="16.2" outlineLevel="1">
      <c r="A710" s="288"/>
      <c r="B710" s="351" t="s">
        <v>871</v>
      </c>
      <c r="C710" s="388" t="str">
        <f>IF(OR(I710&lt;&gt;0,H710&lt;&gt;0),"x"," ")</f>
        <v xml:space="preserve"> </v>
      </c>
      <c r="D710" s="338" t="str">
        <f>VLOOKUP($B710,DG!A:D,DG!$B$2,)</f>
        <v>06.2110</v>
      </c>
      <c r="E710" s="366" t="str">
        <f>VLOOKUP($B710,DG!A:D,DG!$C$2,)</f>
        <v>Lắp cổ dề</v>
      </c>
      <c r="F710" s="338" t="str">
        <f>VLOOKUP($B710,DG!A:D,DG!$D$2,)</f>
        <v>cái</v>
      </c>
      <c r="G710" s="359">
        <v>1</v>
      </c>
      <c r="H710" s="354"/>
      <c r="I710" s="354"/>
      <c r="J710" s="354"/>
      <c r="K710" s="354"/>
      <c r="L710" s="354"/>
      <c r="M710" s="332"/>
      <c r="N710" s="340"/>
      <c r="O710" s="341"/>
    </row>
    <row r="711" spans="1:15" ht="16.2" outlineLevel="1">
      <c r="A711" s="288"/>
      <c r="B711" s="351" t="s">
        <v>831</v>
      </c>
      <c r="C711" s="388" t="str">
        <f>IF(OR(I711&lt;&gt;0,H711&lt;&gt;0),"x"," ")</f>
        <v xml:space="preserve"> </v>
      </c>
      <c r="D711" s="338" t="str">
        <f>VLOOKUP($B711,DG!A:D,DG!$B$2,)</f>
        <v>05.6011</v>
      </c>
      <c r="E711" s="366" t="str">
        <f>VLOOKUP($B711,DG!A:D,DG!$C$2,)</f>
        <v>Lắp bộ chống lệch</v>
      </c>
      <c r="F711" s="338" t="str">
        <f>VLOOKUP($B711,DG!A:D,DG!$D$2,)</f>
        <v>bộ</v>
      </c>
      <c r="G711" s="359">
        <f>G695</f>
        <v>1</v>
      </c>
      <c r="H711" s="354"/>
      <c r="I711" s="354"/>
      <c r="J711" s="354"/>
      <c r="K711" s="354"/>
      <c r="L711" s="354"/>
      <c r="M711" s="332"/>
      <c r="N711" s="340"/>
      <c r="O711" s="341"/>
    </row>
    <row r="712" spans="1:15" ht="16.2" outlineLevel="1">
      <c r="A712" s="288"/>
      <c r="B712" s="356" t="s">
        <v>827</v>
      </c>
      <c r="C712" s="388" t="str">
        <f>IF(OR(I712&lt;&gt;0,H712&lt;&gt;0),"x"," ")</f>
        <v xml:space="preserve"> </v>
      </c>
      <c r="D712" s="338" t="str">
        <f>VLOOKUP($B712,DG!A:C,2,)</f>
        <v>02.1421</v>
      </c>
      <c r="E712" s="366" t="str">
        <f>VLOOKUP($B712,DG!A:C,3,)</f>
        <v>V/c phụ kiện vào vị trí (cự ly &lt;=100m)</v>
      </c>
      <c r="F712" s="338" t="str">
        <f>VLOOKUP($B712,DG!A:D,4,0)</f>
        <v>tấn</v>
      </c>
      <c r="G712" s="357">
        <v>0.02</v>
      </c>
      <c r="H712" s="354"/>
      <c r="I712" s="354"/>
      <c r="J712" s="354"/>
      <c r="K712" s="354"/>
      <c r="L712" s="354"/>
      <c r="M712" s="332"/>
      <c r="N712" s="340"/>
      <c r="O712" s="341"/>
    </row>
    <row r="713" spans="1:15" ht="16.2" outlineLevel="1">
      <c r="A713" s="342" t="s">
        <v>881</v>
      </c>
      <c r="B713" s="343" t="s">
        <v>881</v>
      </c>
      <c r="C713" s="388" t="str">
        <f>IF(OR(I713&lt;&gt;0,H713&lt;&gt;0),"x"," ")</f>
        <v xml:space="preserve"> </v>
      </c>
      <c r="D713" s="345"/>
      <c r="E713" s="346" t="s">
        <v>882</v>
      </c>
      <c r="F713" s="347" t="s">
        <v>285</v>
      </c>
      <c r="G713" s="348"/>
      <c r="H713" s="349">
        <f>IFERROR(HLOOKUP(B713,'BKT-ThuHoi'!$5:$183,179,0),0)</f>
        <v>0</v>
      </c>
      <c r="I713" s="350">
        <f>H713+J713-K713</f>
        <v>0</v>
      </c>
      <c r="J713" s="350"/>
      <c r="K713" s="350"/>
      <c r="L713" s="350"/>
      <c r="M713" s="332"/>
      <c r="N713" s="340"/>
      <c r="O713" s="341"/>
    </row>
    <row r="714" spans="1:15" ht="16.2" outlineLevel="1">
      <c r="A714" s="288"/>
      <c r="B714" s="351" t="s">
        <v>868</v>
      </c>
      <c r="C714" s="388" t="str">
        <f>IF(OR(I714&lt;&gt;0,H714&lt;&gt;0),"x"," ")</f>
        <v xml:space="preserve"> </v>
      </c>
      <c r="D714" s="338"/>
      <c r="E714" s="358" t="str">
        <f>VLOOKUP($B714,DG!A:D,DG!$C$2,)&amp;"-Fe8x100 nhuùng keõm"</f>
        <v>Cổ dê Ø 195 nẹp trụ-Fe8x100 nhuùng keõm</v>
      </c>
      <c r="F714" s="338" t="str">
        <f>VLOOKUP($B714,DG!A:D,DG!$D$2,)</f>
        <v>bộ</v>
      </c>
      <c r="G714" s="359">
        <v>1</v>
      </c>
      <c r="H714" s="360">
        <f t="shared" ref="H714:H723" si="48">H$713*$G714</f>
        <v>0</v>
      </c>
      <c r="I714" s="360"/>
      <c r="J714" s="360"/>
      <c r="K714" s="360"/>
      <c r="L714" s="360"/>
      <c r="M714" s="332"/>
      <c r="N714" s="340"/>
      <c r="O714" s="341"/>
    </row>
    <row r="715" spans="1:15" ht="16.2" outlineLevel="1">
      <c r="A715" s="288"/>
      <c r="B715" s="351" t="s">
        <v>876</v>
      </c>
      <c r="C715" s="388" t="str">
        <f>IF(OR(I715&lt;&gt;0,H715&lt;&gt;0),"x"," ")</f>
        <v xml:space="preserve"> </v>
      </c>
      <c r="D715" s="338"/>
      <c r="E715" s="358" t="str">
        <f>VLOOKUP($B715,DG!A:D,DG!$C$2,)&amp;"-Fe8x100 nhuùng keõm"</f>
        <v>Cổ dê Ø 220 nẹp trụ-Fe8x100 nhuùng keõm</v>
      </c>
      <c r="F715" s="338" t="str">
        <f>VLOOKUP($B715,DG!A:D,DG!$D$2,)</f>
        <v>bộ</v>
      </c>
      <c r="G715" s="359">
        <v>1</v>
      </c>
      <c r="H715" s="360">
        <f t="shared" ref="H715" si="49">H$756*$G715</f>
        <v>0</v>
      </c>
      <c r="I715" s="360"/>
      <c r="J715" s="360"/>
      <c r="K715" s="360"/>
      <c r="L715" s="360"/>
      <c r="M715" s="332"/>
      <c r="N715" s="340"/>
      <c r="O715" s="341"/>
    </row>
    <row r="716" spans="1:15" ht="16.2" outlineLevel="1">
      <c r="A716" s="288"/>
      <c r="B716" s="351" t="s">
        <v>821</v>
      </c>
      <c r="C716" s="388" t="str">
        <f>IF(OR(I716&lt;&gt;0,H716&lt;&gt;0),"x"," ")</f>
        <v xml:space="preserve"> </v>
      </c>
      <c r="D716" s="338"/>
      <c r="E716" s="358" t="str">
        <f>VLOOKUP($B716,DG!A:D,DG!$C$2,)</f>
        <v>Sứ chằng</v>
      </c>
      <c r="F716" s="338" t="str">
        <f>VLOOKUP($B716,DG!A:D,DG!$D$2,)</f>
        <v>cái</v>
      </c>
      <c r="G716" s="359">
        <v>2</v>
      </c>
      <c r="H716" s="360">
        <f t="shared" si="48"/>
        <v>0</v>
      </c>
      <c r="I716" s="360"/>
      <c r="J716" s="360"/>
      <c r="K716" s="360"/>
      <c r="L716" s="360"/>
      <c r="M716" s="332"/>
      <c r="N716" s="340"/>
      <c r="O716" s="341"/>
    </row>
    <row r="717" spans="1:15" ht="16.2" outlineLevel="1">
      <c r="A717" s="288"/>
      <c r="B717" s="351" t="s">
        <v>822</v>
      </c>
      <c r="C717" s="388" t="str">
        <f>IF(OR(I717&lt;&gt;0,H717&lt;&gt;0),"x"," ")</f>
        <v xml:space="preserve"> </v>
      </c>
      <c r="D717" s="338"/>
      <c r="E717" s="358" t="str">
        <f>VLOOKUP($B717,DG!A:D,DG!$C$2,)</f>
        <v>Kẹp cáp 3 boulon</v>
      </c>
      <c r="F717" s="338" t="str">
        <f>VLOOKUP($B717,DG!A:D,DG!$D$2,)</f>
        <v>cái</v>
      </c>
      <c r="G717" s="359">
        <v>16</v>
      </c>
      <c r="H717" s="360">
        <f t="shared" si="48"/>
        <v>0</v>
      </c>
      <c r="I717" s="360"/>
      <c r="J717" s="360"/>
      <c r="K717" s="360"/>
      <c r="L717" s="360"/>
      <c r="M717" s="332"/>
      <c r="N717" s="340"/>
      <c r="O717" s="341"/>
    </row>
    <row r="718" spans="1:15" ht="16.2" outlineLevel="1">
      <c r="A718" s="288"/>
      <c r="B718" s="403" t="s">
        <v>1015</v>
      </c>
      <c r="C718" s="388" t="str">
        <f>IF(OR(I718&lt;&gt;0,H718&lt;&gt;0),"x"," ")</f>
        <v xml:space="preserve"> </v>
      </c>
      <c r="D718" s="338"/>
      <c r="E718" s="358" t="str">
        <f>VLOOKUP($B718,DG!A:D,DG!$C$2,)</f>
        <v>Kẹp hotline 4/0</v>
      </c>
      <c r="F718" s="338" t="str">
        <f>VLOOKUP($B718,DG!A:D,DG!$D$2,)</f>
        <v>cái</v>
      </c>
      <c r="G718" s="359">
        <v>30</v>
      </c>
      <c r="H718" s="360">
        <f t="shared" si="48"/>
        <v>0</v>
      </c>
      <c r="I718" s="360"/>
      <c r="J718" s="360"/>
      <c r="K718" s="360"/>
      <c r="L718" s="360"/>
      <c r="M718" s="332"/>
      <c r="N718" s="340"/>
      <c r="O718" s="341"/>
    </row>
    <row r="719" spans="1:15" ht="16.2" outlineLevel="1">
      <c r="A719" s="288"/>
      <c r="B719" s="351" t="s">
        <v>791</v>
      </c>
      <c r="C719" s="388" t="str">
        <f>IF(OR(I719&lt;&gt;0,H719&lt;&gt;0),"x"," ")</f>
        <v xml:space="preserve"> </v>
      </c>
      <c r="D719" s="338"/>
      <c r="E719" s="358" t="str">
        <f>VLOOKUP($B719,DG!A:D,DG!$C$2,)</f>
        <v>Sắt dẹt 60 x 6</v>
      </c>
      <c r="F719" s="338" t="str">
        <f>VLOOKUP($B719,DG!A:D,DG!$D$2,)</f>
        <v>kg</v>
      </c>
      <c r="G719" s="359">
        <v>4</v>
      </c>
      <c r="H719" s="360">
        <f t="shared" si="48"/>
        <v>0</v>
      </c>
      <c r="I719" s="360"/>
      <c r="J719" s="360"/>
      <c r="K719" s="360"/>
      <c r="L719" s="360"/>
      <c r="M719" s="332"/>
      <c r="N719" s="340"/>
      <c r="O719" s="341"/>
    </row>
    <row r="720" spans="1:15" ht="16.2" outlineLevel="1">
      <c r="A720" s="288"/>
      <c r="B720" s="351" t="s">
        <v>869</v>
      </c>
      <c r="C720" s="388" t="str">
        <f>IF(OR(I720&lt;&gt;0,H720&lt;&gt;0),"x"," ")</f>
        <v xml:space="preserve"> </v>
      </c>
      <c r="D720" s="338"/>
      <c r="E720" s="358" t="str">
        <f>VLOOKUP($B720,DG!A:D,DG!$C$2,)</f>
        <v xml:space="preserve">Móc treo chữ U </v>
      </c>
      <c r="F720" s="338" t="str">
        <f>VLOOKUP($B720,DG!A:D,DG!$D$2,)</f>
        <v>cái</v>
      </c>
      <c r="G720" s="359">
        <v>2</v>
      </c>
      <c r="H720" s="360">
        <f t="shared" si="48"/>
        <v>0</v>
      </c>
      <c r="I720" s="360"/>
      <c r="J720" s="360"/>
      <c r="K720" s="360"/>
      <c r="L720" s="360"/>
      <c r="M720" s="332"/>
      <c r="N720" s="340"/>
      <c r="O720" s="341"/>
    </row>
    <row r="721" spans="1:15" ht="16.2" outlineLevel="1">
      <c r="A721" s="288"/>
      <c r="B721" s="404" t="s">
        <v>870</v>
      </c>
      <c r="C721" s="388" t="str">
        <f>IF(OR(I721&lt;&gt;0,H721&lt;&gt;0),"x"," ")</f>
        <v xml:space="preserve"> </v>
      </c>
      <c r="D721" s="338"/>
      <c r="E721" s="358" t="str">
        <f>VLOOKUP($B721,DG!A:D,DG!$C$2,)</f>
        <v>Boulon 16x100VRS+ 4 long đền vuông D18-50x50x3/Zn</v>
      </c>
      <c r="F721" s="338" t="str">
        <f>VLOOKUP($B721,DG!A:D,DG!$D$2,)</f>
        <v>bộ</v>
      </c>
      <c r="G721" s="359">
        <v>4</v>
      </c>
      <c r="H721" s="360">
        <f t="shared" si="48"/>
        <v>0</v>
      </c>
      <c r="I721" s="360"/>
      <c r="J721" s="360"/>
      <c r="K721" s="360"/>
      <c r="L721" s="360"/>
      <c r="M721" s="332"/>
      <c r="N721" s="340"/>
      <c r="O721" s="341"/>
    </row>
    <row r="722" spans="1:15" ht="16.2" outlineLevel="1">
      <c r="A722" s="288"/>
      <c r="B722" s="351" t="s">
        <v>824</v>
      </c>
      <c r="C722" s="388" t="str">
        <f>IF(OR(I722&lt;&gt;0,H722&lt;&gt;0),"x"," ")</f>
        <v xml:space="preserve"> </v>
      </c>
      <c r="D722" s="338"/>
      <c r="E722" s="358" t="str">
        <f>VLOOKUP($B722,DG!A:D,DG!$C$2,)</f>
        <v>Yếm cáp dày 2mm</v>
      </c>
      <c r="F722" s="338" t="str">
        <f>VLOOKUP($B722,DG!A:D,DG!$D$2,)</f>
        <v>cái</v>
      </c>
      <c r="G722" s="359">
        <v>4</v>
      </c>
      <c r="H722" s="360">
        <f t="shared" si="48"/>
        <v>0</v>
      </c>
      <c r="I722" s="360"/>
      <c r="J722" s="360"/>
      <c r="K722" s="360"/>
      <c r="L722" s="360"/>
      <c r="M722" s="332"/>
      <c r="N722" s="340"/>
      <c r="O722" s="341"/>
    </row>
    <row r="723" spans="1:15" ht="16.2" outlineLevel="1">
      <c r="A723" s="288"/>
      <c r="B723" s="351" t="s">
        <v>825</v>
      </c>
      <c r="C723" s="388" t="str">
        <f>IF(OR(I723&lt;&gt;0,H723&lt;&gt;0),"x"," ")</f>
        <v xml:space="preserve"> </v>
      </c>
      <c r="D723" s="338"/>
      <c r="E723" s="358" t="str">
        <f>VLOOKUP($B723,DG!A:D,DG!$C$2,)</f>
        <v>Máng che dây chằng dày 1,6mm</v>
      </c>
      <c r="F723" s="338" t="str">
        <f>VLOOKUP($B723,DG!A:D,DG!$D$2,)</f>
        <v>cái</v>
      </c>
      <c r="G723" s="359">
        <v>2</v>
      </c>
      <c r="H723" s="360">
        <f t="shared" si="48"/>
        <v>0</v>
      </c>
      <c r="I723" s="360"/>
      <c r="J723" s="360"/>
      <c r="K723" s="360"/>
      <c r="L723" s="360"/>
      <c r="M723" s="332"/>
      <c r="N723" s="340"/>
      <c r="O723" s="341"/>
    </row>
    <row r="724" spans="1:15" ht="16.2" outlineLevel="1">
      <c r="A724" s="288"/>
      <c r="B724" s="351" t="s">
        <v>826</v>
      </c>
      <c r="C724" s="388" t="str">
        <f>IF(OR(I724&lt;&gt;0,H724&lt;&gt;0),"x"," ")</f>
        <v xml:space="preserve"> </v>
      </c>
      <c r="D724" s="338" t="str">
        <f>VLOOKUP($B724,DG!A:D,DG!$B$2,)</f>
        <v>06.3241</v>
      </c>
      <c r="E724" s="366" t="str">
        <f>VLOOKUP($B724,DG!A:D,DG!$C$2,)</f>
        <v>Lắp bộ dây néo</v>
      </c>
      <c r="F724" s="338" t="str">
        <f>VLOOKUP($B724,DG!A:D,DG!$D$2,)</f>
        <v>bộ</v>
      </c>
      <c r="G724" s="359">
        <f>G714</f>
        <v>1</v>
      </c>
      <c r="H724" s="354"/>
      <c r="I724" s="354"/>
      <c r="J724" s="354"/>
      <c r="K724" s="354"/>
      <c r="L724" s="354"/>
      <c r="M724" s="332"/>
      <c r="N724" s="340"/>
      <c r="O724" s="341"/>
    </row>
    <row r="725" spans="1:15" ht="16.2" outlineLevel="1">
      <c r="A725" s="288"/>
      <c r="B725" s="351" t="s">
        <v>871</v>
      </c>
      <c r="C725" s="388" t="str">
        <f>IF(OR(I725&lt;&gt;0,H725&lt;&gt;0),"x"," ")</f>
        <v xml:space="preserve"> </v>
      </c>
      <c r="D725" s="338" t="str">
        <f>VLOOKUP($B725,DG!A:D,DG!$B$2,)</f>
        <v>06.2110</v>
      </c>
      <c r="E725" s="366" t="str">
        <f>VLOOKUP($B725,DG!A:D,DG!$C$2,)</f>
        <v>Lắp cổ dề</v>
      </c>
      <c r="F725" s="338" t="str">
        <f>VLOOKUP($B725,DG!A:D,DG!$D$2,)</f>
        <v>cái</v>
      </c>
      <c r="G725" s="359">
        <v>2</v>
      </c>
      <c r="H725" s="354"/>
      <c r="I725" s="354"/>
      <c r="J725" s="354"/>
      <c r="K725" s="354"/>
      <c r="L725" s="354"/>
      <c r="M725" s="332"/>
      <c r="N725" s="340"/>
      <c r="O725" s="341"/>
    </row>
    <row r="726" spans="1:15" ht="16.2" outlineLevel="1">
      <c r="A726" s="288"/>
      <c r="B726" s="356" t="s">
        <v>827</v>
      </c>
      <c r="C726" s="388" t="str">
        <f>IF(OR(I726&lt;&gt;0,H726&lt;&gt;0),"x"," ")</f>
        <v xml:space="preserve"> </v>
      </c>
      <c r="D726" s="338" t="str">
        <f>VLOOKUP($B726,DG!A:C,2,)</f>
        <v>02.1421</v>
      </c>
      <c r="E726" s="366" t="str">
        <f>VLOOKUP($B726,DG!A:C,3,)</f>
        <v>V/c phụ kiện vào vị trí (cự ly &lt;=100m)</v>
      </c>
      <c r="F726" s="338" t="str">
        <f>VLOOKUP($B726,DG!A:D,4,0)</f>
        <v>tấn</v>
      </c>
      <c r="G726" s="357">
        <v>0.02</v>
      </c>
      <c r="H726" s="354"/>
      <c r="I726" s="354"/>
      <c r="J726" s="354"/>
      <c r="K726" s="354"/>
      <c r="L726" s="354"/>
      <c r="M726" s="332"/>
      <c r="N726" s="340"/>
      <c r="O726" s="341"/>
    </row>
    <row r="727" spans="1:15" ht="16.2" outlineLevel="1">
      <c r="A727" s="342" t="s">
        <v>883</v>
      </c>
      <c r="B727" s="343" t="s">
        <v>883</v>
      </c>
      <c r="C727" s="388" t="str">
        <f>IF(OR(I727&lt;&gt;0,H727&lt;&gt;0),"x"," ")</f>
        <v xml:space="preserve"> </v>
      </c>
      <c r="D727" s="345"/>
      <c r="E727" s="346" t="s">
        <v>884</v>
      </c>
      <c r="F727" s="347" t="s">
        <v>285</v>
      </c>
      <c r="G727" s="348"/>
      <c r="H727" s="349">
        <f>IFERROR(HLOOKUP(B727,'BKT-ThuHoi'!$5:$183,179,0),0)</f>
        <v>0</v>
      </c>
      <c r="I727" s="350">
        <f>H727+J727-K727</f>
        <v>0</v>
      </c>
      <c r="J727" s="350"/>
      <c r="K727" s="350"/>
      <c r="L727" s="350"/>
      <c r="M727" s="332"/>
      <c r="N727" s="340"/>
      <c r="O727" s="341"/>
    </row>
    <row r="728" spans="1:15" ht="16.2" outlineLevel="1">
      <c r="A728" s="288"/>
      <c r="B728" s="351" t="s">
        <v>868</v>
      </c>
      <c r="C728" s="388" t="str">
        <f>IF(OR(I728&lt;&gt;0,H728&lt;&gt;0),"x"," ")</f>
        <v xml:space="preserve"> </v>
      </c>
      <c r="D728" s="338"/>
      <c r="E728" s="358" t="str">
        <f>VLOOKUP($B728,DG!A:D,DG!$C$2,)&amp;"-Fe8x100 nhuùng keõm"</f>
        <v>Cổ dê Ø 195 nẹp trụ-Fe8x100 nhuùng keõm</v>
      </c>
      <c r="F728" s="338" t="str">
        <f>VLOOKUP($B728,DG!A:D,DG!$D$2,)</f>
        <v>bộ</v>
      </c>
      <c r="G728" s="359">
        <v>1</v>
      </c>
      <c r="H728" s="360">
        <f t="shared" ref="H728:H736" si="50">H$727*$G728</f>
        <v>0</v>
      </c>
      <c r="I728" s="360"/>
      <c r="J728" s="360"/>
      <c r="K728" s="360"/>
      <c r="L728" s="360"/>
      <c r="M728" s="332"/>
      <c r="N728" s="340"/>
      <c r="O728" s="341"/>
    </row>
    <row r="729" spans="1:15" ht="16.2" outlineLevel="1">
      <c r="A729" s="288"/>
      <c r="B729" s="351" t="s">
        <v>821</v>
      </c>
      <c r="C729" s="388" t="str">
        <f>IF(OR(I729&lt;&gt;0,H729&lt;&gt;0),"x"," ")</f>
        <v xml:space="preserve"> </v>
      </c>
      <c r="D729" s="338"/>
      <c r="E729" s="358" t="str">
        <f>VLOOKUP($B729,DG!A:D,DG!$C$2,)</f>
        <v>Sứ chằng</v>
      </c>
      <c r="F729" s="338" t="str">
        <f>VLOOKUP($B729,DG!A:D,DG!$D$2,)</f>
        <v>cái</v>
      </c>
      <c r="G729" s="359">
        <v>2</v>
      </c>
      <c r="H729" s="360">
        <f t="shared" si="50"/>
        <v>0</v>
      </c>
      <c r="I729" s="360"/>
      <c r="J729" s="360"/>
      <c r="K729" s="360"/>
      <c r="L729" s="360"/>
      <c r="M729" s="332"/>
      <c r="N729" s="340"/>
      <c r="O729" s="341"/>
    </row>
    <row r="730" spans="1:15" ht="16.2" outlineLevel="1">
      <c r="A730" s="288"/>
      <c r="B730" s="351" t="s">
        <v>822</v>
      </c>
      <c r="C730" s="388" t="str">
        <f>IF(OR(I730&lt;&gt;0,H730&lt;&gt;0),"x"," ")</f>
        <v xml:space="preserve"> </v>
      </c>
      <c r="D730" s="338"/>
      <c r="E730" s="358" t="str">
        <f>VLOOKUP($B730,DG!A:D,DG!$C$2,)</f>
        <v>Kẹp cáp 3 boulon</v>
      </c>
      <c r="F730" s="338" t="str">
        <f>VLOOKUP($B730,DG!A:D,DG!$D$2,)</f>
        <v>cái</v>
      </c>
      <c r="G730" s="359">
        <v>8</v>
      </c>
      <c r="H730" s="360">
        <f t="shared" si="50"/>
        <v>0</v>
      </c>
      <c r="I730" s="360"/>
      <c r="J730" s="360"/>
      <c r="K730" s="360"/>
      <c r="L730" s="360"/>
      <c r="M730" s="332"/>
      <c r="N730" s="340"/>
      <c r="O730" s="341"/>
    </row>
    <row r="731" spans="1:15" ht="16.2" outlineLevel="1">
      <c r="A731" s="288"/>
      <c r="B731" s="403" t="s">
        <v>1015</v>
      </c>
      <c r="C731" s="388" t="str">
        <f>IF(OR(I731&lt;&gt;0,H731&lt;&gt;0),"x"," ")</f>
        <v xml:space="preserve"> </v>
      </c>
      <c r="D731" s="338"/>
      <c r="E731" s="358" t="str">
        <f>VLOOKUP($B731,DG!A:D,DG!$C$2,)</f>
        <v>Kẹp hotline 4/0</v>
      </c>
      <c r="F731" s="338" t="str">
        <f>VLOOKUP($B731,DG!A:D,DG!$D$2,)</f>
        <v>cái</v>
      </c>
      <c r="G731" s="359">
        <v>19</v>
      </c>
      <c r="H731" s="360">
        <f t="shared" si="50"/>
        <v>0</v>
      </c>
      <c r="I731" s="360"/>
      <c r="J731" s="360"/>
      <c r="K731" s="360"/>
      <c r="L731" s="360"/>
      <c r="M731" s="332"/>
      <c r="N731" s="340"/>
      <c r="O731" s="341"/>
    </row>
    <row r="732" spans="1:15" ht="16.2" outlineLevel="1">
      <c r="A732" s="288"/>
      <c r="B732" s="351" t="s">
        <v>791</v>
      </c>
      <c r="C732" s="388" t="str">
        <f>IF(OR(I732&lt;&gt;0,H732&lt;&gt;0),"x"," ")</f>
        <v xml:space="preserve"> </v>
      </c>
      <c r="D732" s="338"/>
      <c r="E732" s="358" t="str">
        <f>VLOOKUP($B732,DG!A:D,DG!$C$2,)</f>
        <v>Sắt dẹt 60 x 6</v>
      </c>
      <c r="F732" s="338" t="str">
        <f>VLOOKUP($B732,DG!A:D,DG!$D$2,)</f>
        <v>kg</v>
      </c>
      <c r="G732" s="359">
        <v>2</v>
      </c>
      <c r="H732" s="360">
        <f t="shared" si="50"/>
        <v>0</v>
      </c>
      <c r="I732" s="360"/>
      <c r="J732" s="360"/>
      <c r="K732" s="360"/>
      <c r="L732" s="360"/>
      <c r="M732" s="332"/>
      <c r="N732" s="340"/>
      <c r="O732" s="341"/>
    </row>
    <row r="733" spans="1:15" ht="16.2" outlineLevel="1">
      <c r="A733" s="288"/>
      <c r="B733" s="351" t="s">
        <v>869</v>
      </c>
      <c r="C733" s="388" t="str">
        <f>IF(OR(I733&lt;&gt;0,H733&lt;&gt;0),"x"," ")</f>
        <v xml:space="preserve"> </v>
      </c>
      <c r="D733" s="338"/>
      <c r="E733" s="358" t="str">
        <f>VLOOKUP($B733,DG!A:D,DG!$C$2,)</f>
        <v xml:space="preserve">Móc treo chữ U </v>
      </c>
      <c r="F733" s="338" t="str">
        <f>VLOOKUP($B733,DG!A:D,DG!$D$2,)</f>
        <v>cái</v>
      </c>
      <c r="G733" s="359">
        <v>1</v>
      </c>
      <c r="H733" s="360">
        <f t="shared" si="50"/>
        <v>0</v>
      </c>
      <c r="I733" s="360"/>
      <c r="J733" s="360"/>
      <c r="K733" s="360"/>
      <c r="L733" s="360"/>
      <c r="M733" s="332"/>
      <c r="N733" s="340"/>
      <c r="O733" s="341"/>
    </row>
    <row r="734" spans="1:15" ht="16.2" outlineLevel="1">
      <c r="A734" s="288"/>
      <c r="B734" s="404" t="s">
        <v>870</v>
      </c>
      <c r="C734" s="388" t="str">
        <f>IF(OR(I734&lt;&gt;0,H734&lt;&gt;0),"x"," ")</f>
        <v xml:space="preserve"> </v>
      </c>
      <c r="D734" s="338"/>
      <c r="E734" s="358" t="str">
        <f>VLOOKUP($B734,DG!A:D,DG!$C$2,)</f>
        <v>Boulon 16x100VRS+ 4 long đền vuông D18-50x50x3/Zn</v>
      </c>
      <c r="F734" s="338" t="str">
        <f>VLOOKUP($B734,DG!A:D,DG!$D$2,)</f>
        <v>bộ</v>
      </c>
      <c r="G734" s="359">
        <v>2</v>
      </c>
      <c r="H734" s="360">
        <f t="shared" si="50"/>
        <v>0</v>
      </c>
      <c r="I734" s="360"/>
      <c r="J734" s="360"/>
      <c r="K734" s="360"/>
      <c r="L734" s="360"/>
      <c r="M734" s="332"/>
      <c r="N734" s="340"/>
      <c r="O734" s="341"/>
    </row>
    <row r="735" spans="1:15" ht="16.2" outlineLevel="1">
      <c r="A735" s="288"/>
      <c r="B735" s="351" t="s">
        <v>824</v>
      </c>
      <c r="C735" s="388" t="str">
        <f>IF(OR(I735&lt;&gt;0,H735&lt;&gt;0),"x"," ")</f>
        <v xml:space="preserve"> </v>
      </c>
      <c r="D735" s="338"/>
      <c r="E735" s="358" t="str">
        <f>VLOOKUP($B735,DG!A:D,DG!$C$2,)</f>
        <v>Yếm cáp dày 2mm</v>
      </c>
      <c r="F735" s="338" t="str">
        <f>VLOOKUP($B735,DG!A:D,DG!$D$2,)</f>
        <v>cái</v>
      </c>
      <c r="G735" s="359">
        <v>2</v>
      </c>
      <c r="H735" s="360">
        <f t="shared" si="50"/>
        <v>0</v>
      </c>
      <c r="I735" s="360"/>
      <c r="J735" s="360"/>
      <c r="K735" s="360"/>
      <c r="L735" s="360"/>
      <c r="M735" s="332"/>
      <c r="N735" s="340"/>
      <c r="O735" s="341"/>
    </row>
    <row r="736" spans="1:15" ht="16.2" outlineLevel="1">
      <c r="A736" s="288"/>
      <c r="B736" s="351" t="s">
        <v>825</v>
      </c>
      <c r="C736" s="388" t="str">
        <f>IF(OR(I736&lt;&gt;0,H736&lt;&gt;0),"x"," ")</f>
        <v xml:space="preserve"> </v>
      </c>
      <c r="D736" s="338"/>
      <c r="E736" s="358" t="str">
        <f>VLOOKUP($B736,DG!A:D,DG!$C$2,)</f>
        <v>Máng che dây chằng dày 1,6mm</v>
      </c>
      <c r="F736" s="338" t="str">
        <f>VLOOKUP($B736,DG!A:D,DG!$D$2,)</f>
        <v>cái</v>
      </c>
      <c r="G736" s="359">
        <v>1</v>
      </c>
      <c r="H736" s="360">
        <f t="shared" si="50"/>
        <v>0</v>
      </c>
      <c r="I736" s="360"/>
      <c r="J736" s="360"/>
      <c r="K736" s="360"/>
      <c r="L736" s="360"/>
      <c r="M736" s="332"/>
      <c r="N736" s="340"/>
      <c r="O736" s="341"/>
    </row>
    <row r="737" spans="1:15" ht="16.2" outlineLevel="1">
      <c r="A737" s="288"/>
      <c r="B737" s="351" t="s">
        <v>826</v>
      </c>
      <c r="C737" s="388" t="str">
        <f>IF(OR(I737&lt;&gt;0,H737&lt;&gt;0),"x"," ")</f>
        <v xml:space="preserve"> </v>
      </c>
      <c r="D737" s="338" t="str">
        <f>VLOOKUP($B737,DG!A:D,DG!$B$2,)</f>
        <v>06.3241</v>
      </c>
      <c r="E737" s="366" t="str">
        <f>VLOOKUP($B737,DG!A:D,DG!$C$2,)</f>
        <v>Lắp bộ dây néo</v>
      </c>
      <c r="F737" s="338" t="str">
        <f>VLOOKUP($B737,DG!A:D,DG!$D$2,)</f>
        <v>bộ</v>
      </c>
      <c r="G737" s="359">
        <f>G728</f>
        <v>1</v>
      </c>
      <c r="H737" s="354"/>
      <c r="I737" s="354"/>
      <c r="J737" s="354"/>
      <c r="K737" s="354"/>
      <c r="L737" s="354"/>
      <c r="M737" s="332"/>
      <c r="N737" s="340"/>
      <c r="O737" s="341"/>
    </row>
    <row r="738" spans="1:15" ht="16.2" outlineLevel="1">
      <c r="A738" s="288"/>
      <c r="B738" s="351" t="s">
        <v>871</v>
      </c>
      <c r="C738" s="388" t="str">
        <f>IF(OR(I738&lt;&gt;0,H738&lt;&gt;0),"x"," ")</f>
        <v xml:space="preserve"> </v>
      </c>
      <c r="D738" s="338" t="str">
        <f>VLOOKUP($B738,DG!A:D,DG!$B$2,)</f>
        <v>06.2110</v>
      </c>
      <c r="E738" s="366" t="str">
        <f>VLOOKUP($B738,DG!A:D,DG!$C$2,)</f>
        <v>Lắp cổ dề</v>
      </c>
      <c r="F738" s="338" t="str">
        <f>VLOOKUP($B738,DG!A:D,DG!$D$2,)</f>
        <v>cái</v>
      </c>
      <c r="G738" s="359">
        <v>1</v>
      </c>
      <c r="H738" s="354"/>
      <c r="I738" s="354"/>
      <c r="J738" s="354"/>
      <c r="K738" s="354"/>
      <c r="L738" s="354"/>
      <c r="M738" s="332"/>
      <c r="N738" s="340"/>
      <c r="O738" s="341"/>
    </row>
    <row r="739" spans="1:15" ht="16.2" outlineLevel="1">
      <c r="A739" s="288"/>
      <c r="B739" s="356" t="s">
        <v>827</v>
      </c>
      <c r="C739" s="388" t="str">
        <f>IF(OR(I739&lt;&gt;0,H739&lt;&gt;0),"x"," ")</f>
        <v xml:space="preserve"> </v>
      </c>
      <c r="D739" s="338" t="str">
        <f>VLOOKUP($B739,DG!A:C,2,)</f>
        <v>02.1421</v>
      </c>
      <c r="E739" s="366" t="str">
        <f>VLOOKUP($B739,DG!A:C,3,)</f>
        <v>V/c phụ kiện vào vị trí (cự ly &lt;=100m)</v>
      </c>
      <c r="F739" s="338" t="str">
        <f>VLOOKUP($B739,DG!A:D,4,0)</f>
        <v>tấn</v>
      </c>
      <c r="G739" s="357">
        <v>0.02</v>
      </c>
      <c r="H739" s="354"/>
      <c r="I739" s="354"/>
      <c r="J739" s="354"/>
      <c r="K739" s="354"/>
      <c r="L739" s="354"/>
      <c r="M739" s="332"/>
      <c r="N739" s="340"/>
      <c r="O739" s="341"/>
    </row>
    <row r="740" spans="1:15" ht="16.2" outlineLevel="1">
      <c r="A740" s="342" t="s">
        <v>885</v>
      </c>
      <c r="B740" s="343" t="s">
        <v>885</v>
      </c>
      <c r="C740" s="388" t="str">
        <f>IF(OR(I740&lt;&gt;0,H740&lt;&gt;0),"x"," ")</f>
        <v xml:space="preserve"> </v>
      </c>
      <c r="D740" s="345"/>
      <c r="E740" s="346" t="s">
        <v>886</v>
      </c>
      <c r="F740" s="347" t="s">
        <v>285</v>
      </c>
      <c r="G740" s="348"/>
      <c r="H740" s="349">
        <f>IFERROR(HLOOKUP(B740,'BKT-ThuHoi'!$5:$183,179,0),0)</f>
        <v>0</v>
      </c>
      <c r="I740" s="350">
        <f>H740+J740-K740</f>
        <v>0</v>
      </c>
      <c r="J740" s="350"/>
      <c r="K740" s="350"/>
      <c r="L740" s="350"/>
      <c r="M740" s="332"/>
      <c r="N740" s="340"/>
      <c r="O740" s="341"/>
    </row>
    <row r="741" spans="1:15" ht="16.2" outlineLevel="1">
      <c r="A741" s="288"/>
      <c r="B741" s="351" t="s">
        <v>868</v>
      </c>
      <c r="C741" s="388" t="str">
        <f>IF(OR(I741&lt;&gt;0,H741&lt;&gt;0),"x"," ")</f>
        <v xml:space="preserve"> </v>
      </c>
      <c r="D741" s="338"/>
      <c r="E741" s="358" t="str">
        <f>VLOOKUP($B741,DG!A:D,DG!$C$2,)&amp;"-Fe8x100 nhuùng keõm"</f>
        <v>Cổ dê Ø 195 nẹp trụ-Fe8x100 nhuùng keõm</v>
      </c>
      <c r="F741" s="338" t="str">
        <f>VLOOKUP($B741,DG!A:D,DG!$D$2,)</f>
        <v>bộ</v>
      </c>
      <c r="G741" s="359">
        <v>1</v>
      </c>
      <c r="H741" s="360">
        <f t="shared" ref="H741:H751" si="51">H$740*$G741</f>
        <v>0</v>
      </c>
      <c r="I741" s="360"/>
      <c r="J741" s="360"/>
      <c r="K741" s="360"/>
      <c r="L741" s="360"/>
      <c r="M741" s="332"/>
      <c r="N741" s="340"/>
      <c r="O741" s="341"/>
    </row>
    <row r="742" spans="1:15" ht="16.2" outlineLevel="1">
      <c r="A742" s="288"/>
      <c r="B742" s="351" t="s">
        <v>821</v>
      </c>
      <c r="C742" s="388" t="str">
        <f>IF(OR(I742&lt;&gt;0,H742&lt;&gt;0),"x"," ")</f>
        <v xml:space="preserve"> </v>
      </c>
      <c r="D742" s="338"/>
      <c r="E742" s="358" t="str">
        <f>VLOOKUP($B742,DG!A:D,DG!$C$2,)</f>
        <v>Sứ chằng</v>
      </c>
      <c r="F742" s="338" t="str">
        <f>VLOOKUP($B742,DG!A:D,DG!$D$2,)</f>
        <v>cái</v>
      </c>
      <c r="G742" s="359">
        <v>1</v>
      </c>
      <c r="H742" s="360">
        <f t="shared" si="51"/>
        <v>0</v>
      </c>
      <c r="I742" s="360"/>
      <c r="J742" s="360"/>
      <c r="K742" s="360"/>
      <c r="L742" s="360"/>
      <c r="M742" s="332"/>
      <c r="N742" s="340"/>
      <c r="O742" s="341"/>
    </row>
    <row r="743" spans="1:15" ht="16.2" outlineLevel="1">
      <c r="A743" s="288"/>
      <c r="B743" s="351" t="s">
        <v>822</v>
      </c>
      <c r="C743" s="388" t="str">
        <f>IF(OR(I743&lt;&gt;0,H743&lt;&gt;0),"x"," ")</f>
        <v xml:space="preserve"> </v>
      </c>
      <c r="D743" s="338"/>
      <c r="E743" s="358" t="str">
        <f>VLOOKUP($B743,DG!A:D,DG!$C$2,)</f>
        <v>Kẹp cáp 3 boulon</v>
      </c>
      <c r="F743" s="338" t="str">
        <f>VLOOKUP($B743,DG!A:D,DG!$D$2,)</f>
        <v>cái</v>
      </c>
      <c r="G743" s="359">
        <v>8</v>
      </c>
      <c r="H743" s="360">
        <f t="shared" si="51"/>
        <v>0</v>
      </c>
      <c r="I743" s="360"/>
      <c r="J743" s="360"/>
      <c r="K743" s="360"/>
      <c r="L743" s="360"/>
      <c r="M743" s="332"/>
      <c r="N743" s="340"/>
      <c r="O743" s="341"/>
    </row>
    <row r="744" spans="1:15" ht="16.2" outlineLevel="1">
      <c r="A744" s="288"/>
      <c r="B744" s="403" t="s">
        <v>1015</v>
      </c>
      <c r="C744" s="388" t="str">
        <f>IF(OR(I744&lt;&gt;0,H744&lt;&gt;0),"x"," ")</f>
        <v xml:space="preserve"> </v>
      </c>
      <c r="D744" s="338"/>
      <c r="E744" s="358" t="str">
        <f>VLOOKUP($B744,DG!A:D,DG!$C$2,)</f>
        <v>Kẹp hotline 4/0</v>
      </c>
      <c r="F744" s="338" t="str">
        <f>VLOOKUP($B744,DG!A:D,DG!$D$2,)</f>
        <v>cái</v>
      </c>
      <c r="G744" s="359">
        <v>15</v>
      </c>
      <c r="H744" s="360">
        <f t="shared" si="51"/>
        <v>0</v>
      </c>
      <c r="I744" s="360"/>
      <c r="J744" s="360"/>
      <c r="K744" s="360"/>
      <c r="L744" s="360"/>
      <c r="M744" s="332"/>
      <c r="N744" s="340"/>
      <c r="O744" s="341"/>
    </row>
    <row r="745" spans="1:15" ht="16.2" outlineLevel="1">
      <c r="A745" s="288"/>
      <c r="B745" s="351" t="s">
        <v>841</v>
      </c>
      <c r="C745" s="388" t="str">
        <f>IF(OR(I745&lt;&gt;0,H745&lt;&gt;0),"x"," ")</f>
        <v xml:space="preserve"> </v>
      </c>
      <c r="D745" s="338"/>
      <c r="E745" s="358" t="str">
        <f>VLOOKUP($B745,DG!A:D,DG!$C$2,)</f>
        <v>Bộ chống chằng hẹp Ø60/50x1500+2BL12x40+BL16x250/80</v>
      </c>
      <c r="F745" s="338" t="str">
        <f>VLOOKUP($B745,DG!A:D,DG!$D$2,)</f>
        <v>bộ</v>
      </c>
      <c r="G745" s="359">
        <v>1</v>
      </c>
      <c r="H745" s="360">
        <f t="shared" si="51"/>
        <v>0</v>
      </c>
      <c r="I745" s="360"/>
      <c r="J745" s="360"/>
      <c r="K745" s="360"/>
      <c r="L745" s="360"/>
      <c r="M745" s="332"/>
      <c r="N745" s="340"/>
      <c r="O745" s="341"/>
    </row>
    <row r="746" spans="1:15" ht="16.2" outlineLevel="1">
      <c r="A746" s="288"/>
      <c r="B746" s="351" t="s">
        <v>791</v>
      </c>
      <c r="C746" s="388" t="str">
        <f>IF(OR(I746&lt;&gt;0,H746&lt;&gt;0),"x"," ")</f>
        <v xml:space="preserve"> </v>
      </c>
      <c r="D746" s="338"/>
      <c r="E746" s="358" t="str">
        <f>VLOOKUP($B746,DG!A:D,DG!$C$2,)</f>
        <v>Sắt dẹt 60 x 6</v>
      </c>
      <c r="F746" s="338" t="str">
        <f>VLOOKUP($B746,DG!A:D,DG!$D$2,)</f>
        <v>kg</v>
      </c>
      <c r="G746" s="359">
        <v>2</v>
      </c>
      <c r="H746" s="360">
        <f t="shared" si="51"/>
        <v>0</v>
      </c>
      <c r="I746" s="360"/>
      <c r="J746" s="360"/>
      <c r="K746" s="360"/>
      <c r="L746" s="360"/>
      <c r="M746" s="332"/>
      <c r="N746" s="340"/>
      <c r="O746" s="341"/>
    </row>
    <row r="747" spans="1:15" ht="16.2" outlineLevel="1">
      <c r="A747" s="288"/>
      <c r="B747" s="351" t="s">
        <v>869</v>
      </c>
      <c r="C747" s="388" t="str">
        <f>IF(OR(I747&lt;&gt;0,H747&lt;&gt;0),"x"," ")</f>
        <v xml:space="preserve"> </v>
      </c>
      <c r="D747" s="338"/>
      <c r="E747" s="358" t="str">
        <f>VLOOKUP($B747,DG!A:D,DG!$C$2,)</f>
        <v xml:space="preserve">Móc treo chữ U </v>
      </c>
      <c r="F747" s="338" t="str">
        <f>VLOOKUP($B747,DG!A:D,DG!$D$2,)</f>
        <v>cái</v>
      </c>
      <c r="G747" s="359">
        <v>1</v>
      </c>
      <c r="H747" s="360">
        <f t="shared" si="51"/>
        <v>0</v>
      </c>
      <c r="I747" s="360"/>
      <c r="J747" s="360"/>
      <c r="K747" s="360"/>
      <c r="L747" s="360"/>
      <c r="M747" s="332"/>
      <c r="N747" s="340"/>
      <c r="O747" s="341"/>
    </row>
    <row r="748" spans="1:15" ht="16.2" outlineLevel="1">
      <c r="A748" s="288"/>
      <c r="B748" s="404" t="s">
        <v>870</v>
      </c>
      <c r="C748" s="388" t="str">
        <f>IF(OR(I748&lt;&gt;0,H748&lt;&gt;0),"x"," ")</f>
        <v xml:space="preserve"> </v>
      </c>
      <c r="D748" s="338"/>
      <c r="E748" s="358" t="str">
        <f>VLOOKUP($B748,DG!A:D,DG!$C$2,)</f>
        <v>Boulon 16x100VRS+ 4 long đền vuông D18-50x50x3/Zn</v>
      </c>
      <c r="F748" s="338" t="str">
        <f>VLOOKUP($B748,DG!A:D,DG!$D$2,)</f>
        <v>bộ</v>
      </c>
      <c r="G748" s="359">
        <v>2</v>
      </c>
      <c r="H748" s="360">
        <f t="shared" si="51"/>
        <v>0</v>
      </c>
      <c r="I748" s="360"/>
      <c r="J748" s="360"/>
      <c r="K748" s="360"/>
      <c r="L748" s="360"/>
      <c r="M748" s="332"/>
      <c r="N748" s="340"/>
      <c r="O748" s="341"/>
    </row>
    <row r="749" spans="1:15" ht="16.2" outlineLevel="1">
      <c r="A749" s="288"/>
      <c r="B749" s="404" t="s">
        <v>887</v>
      </c>
      <c r="C749" s="388" t="str">
        <f>IF(OR(I749&lt;&gt;0,H749&lt;&gt;0),"x"," ")</f>
        <v xml:space="preserve"> </v>
      </c>
      <c r="D749" s="338"/>
      <c r="E749" s="358" t="str">
        <f>VLOOKUP($B749,DG!A:D,DG!$C$2,)</f>
        <v>Boulon 16x270/80</v>
      </c>
      <c r="F749" s="338" t="str">
        <f>VLOOKUP($B749,DG!A:D,DG!$D$2,)</f>
        <v>bộ</v>
      </c>
      <c r="G749" s="359">
        <v>1</v>
      </c>
      <c r="H749" s="360">
        <f t="shared" si="51"/>
        <v>0</v>
      </c>
      <c r="I749" s="360"/>
      <c r="J749" s="360"/>
      <c r="K749" s="360"/>
      <c r="L749" s="360"/>
      <c r="M749" s="332"/>
      <c r="N749" s="340"/>
      <c r="O749" s="341"/>
    </row>
    <row r="750" spans="1:15" ht="16.2" outlineLevel="1">
      <c r="A750" s="288"/>
      <c r="B750" s="351" t="s">
        <v>824</v>
      </c>
      <c r="C750" s="388" t="str">
        <f>IF(OR(I750&lt;&gt;0,H750&lt;&gt;0),"x"," ")</f>
        <v xml:space="preserve"> </v>
      </c>
      <c r="D750" s="338"/>
      <c r="E750" s="358" t="str">
        <f>VLOOKUP($B750,DG!A:D,DG!$C$2,)</f>
        <v>Yếm cáp dày 2mm</v>
      </c>
      <c r="F750" s="338" t="str">
        <f>VLOOKUP($B750,DG!A:D,DG!$D$2,)</f>
        <v>cái</v>
      </c>
      <c r="G750" s="359">
        <v>2</v>
      </c>
      <c r="H750" s="360">
        <f t="shared" si="51"/>
        <v>0</v>
      </c>
      <c r="I750" s="360"/>
      <c r="J750" s="360"/>
      <c r="K750" s="360"/>
      <c r="L750" s="360"/>
      <c r="M750" s="332"/>
      <c r="N750" s="340"/>
      <c r="O750" s="341"/>
    </row>
    <row r="751" spans="1:15" ht="16.2" outlineLevel="1">
      <c r="A751" s="288"/>
      <c r="B751" s="351" t="s">
        <v>825</v>
      </c>
      <c r="C751" s="388" t="str">
        <f>IF(OR(I751&lt;&gt;0,H751&lt;&gt;0),"x"," ")</f>
        <v xml:space="preserve"> </v>
      </c>
      <c r="D751" s="338"/>
      <c r="E751" s="358" t="str">
        <f>VLOOKUP($B751,DG!A:D,DG!$C$2,)</f>
        <v>Máng che dây chằng dày 1,6mm</v>
      </c>
      <c r="F751" s="338" t="str">
        <f>VLOOKUP($B751,DG!A:D,DG!$D$2,)</f>
        <v>cái</v>
      </c>
      <c r="G751" s="359">
        <v>1</v>
      </c>
      <c r="H751" s="360">
        <f t="shared" si="51"/>
        <v>0</v>
      </c>
      <c r="I751" s="360"/>
      <c r="J751" s="360"/>
      <c r="K751" s="360"/>
      <c r="L751" s="360"/>
      <c r="M751" s="332"/>
      <c r="N751" s="340"/>
      <c r="O751" s="341"/>
    </row>
    <row r="752" spans="1:15" ht="16.2" outlineLevel="1">
      <c r="A752" s="288"/>
      <c r="B752" s="351" t="s">
        <v>826</v>
      </c>
      <c r="C752" s="388" t="str">
        <f>IF(OR(I752&lt;&gt;0,H752&lt;&gt;0),"x"," ")</f>
        <v xml:space="preserve"> </v>
      </c>
      <c r="D752" s="338" t="str">
        <f>VLOOKUP($B752,DG!A:D,DG!$B$2,)</f>
        <v>06.3241</v>
      </c>
      <c r="E752" s="366" t="str">
        <f>VLOOKUP($B752,DG!A:D,DG!$C$2,)</f>
        <v>Lắp bộ dây néo</v>
      </c>
      <c r="F752" s="338" t="str">
        <f>VLOOKUP($B752,DG!A:D,DG!$D$2,)</f>
        <v>bộ</v>
      </c>
      <c r="G752" s="359">
        <f>G741</f>
        <v>1</v>
      </c>
      <c r="H752" s="354"/>
      <c r="I752" s="354"/>
      <c r="J752" s="354"/>
      <c r="K752" s="354"/>
      <c r="L752" s="354"/>
      <c r="M752" s="332"/>
      <c r="N752" s="340"/>
      <c r="O752" s="341"/>
    </row>
    <row r="753" spans="1:15" ht="16.2" outlineLevel="1">
      <c r="A753" s="288"/>
      <c r="B753" s="351" t="s">
        <v>871</v>
      </c>
      <c r="C753" s="388" t="str">
        <f>IF(OR(I753&lt;&gt;0,H753&lt;&gt;0),"x"," ")</f>
        <v xml:space="preserve"> </v>
      </c>
      <c r="D753" s="338" t="str">
        <f>VLOOKUP($B753,DG!A:D,DG!$B$2,)</f>
        <v>06.2110</v>
      </c>
      <c r="E753" s="366" t="str">
        <f>VLOOKUP($B753,DG!A:D,DG!$C$2,)</f>
        <v>Lắp cổ dề</v>
      </c>
      <c r="F753" s="338" t="str">
        <f>VLOOKUP($B753,DG!A:D,DG!$D$2,)</f>
        <v>cái</v>
      </c>
      <c r="G753" s="359">
        <v>1</v>
      </c>
      <c r="H753" s="354"/>
      <c r="I753" s="354"/>
      <c r="J753" s="354"/>
      <c r="K753" s="354"/>
      <c r="L753" s="354"/>
      <c r="M753" s="332"/>
      <c r="N753" s="340"/>
      <c r="O753" s="341"/>
    </row>
    <row r="754" spans="1:15" ht="16.2" outlineLevel="1">
      <c r="A754" s="288"/>
      <c r="B754" s="351" t="s">
        <v>831</v>
      </c>
      <c r="C754" s="388" t="str">
        <f>IF(OR(I754&lt;&gt;0,H754&lt;&gt;0),"x"," ")</f>
        <v xml:space="preserve"> </v>
      </c>
      <c r="D754" s="338" t="str">
        <f>VLOOKUP($B754,DG!A:D,DG!$B$2,)</f>
        <v>05.6011</v>
      </c>
      <c r="E754" s="366" t="str">
        <f>VLOOKUP($B754,DG!A:D,DG!$C$2,)</f>
        <v>Lắp bộ chống lệch</v>
      </c>
      <c r="F754" s="338" t="str">
        <f>VLOOKUP($B754,DG!A:D,DG!$D$2,)</f>
        <v>bộ</v>
      </c>
      <c r="G754" s="359">
        <f>G737</f>
        <v>1</v>
      </c>
      <c r="H754" s="354"/>
      <c r="I754" s="354"/>
      <c r="J754" s="354"/>
      <c r="K754" s="354"/>
      <c r="L754" s="354"/>
      <c r="M754" s="332"/>
      <c r="N754" s="340"/>
      <c r="O754" s="341"/>
    </row>
    <row r="755" spans="1:15" ht="16.2" outlineLevel="1">
      <c r="A755" s="288"/>
      <c r="B755" s="356" t="s">
        <v>827</v>
      </c>
      <c r="C755" s="388" t="str">
        <f>IF(OR(I755&lt;&gt;0,H755&lt;&gt;0),"x"," ")</f>
        <v xml:space="preserve"> </v>
      </c>
      <c r="D755" s="338" t="str">
        <f>VLOOKUP($B755,DG!A:C,2,)</f>
        <v>02.1421</v>
      </c>
      <c r="E755" s="366" t="str">
        <f>VLOOKUP($B755,DG!A:C,3,)</f>
        <v>V/c phụ kiện vào vị trí (cự ly &lt;=100m)</v>
      </c>
      <c r="F755" s="338" t="str">
        <f>VLOOKUP($B755,DG!A:D,4,0)</f>
        <v>tấn</v>
      </c>
      <c r="G755" s="357">
        <v>0.02</v>
      </c>
      <c r="H755" s="354"/>
      <c r="I755" s="354"/>
      <c r="J755" s="354"/>
      <c r="K755" s="354"/>
      <c r="L755" s="354"/>
      <c r="M755" s="332"/>
      <c r="N755" s="340"/>
      <c r="O755" s="341"/>
    </row>
    <row r="756" spans="1:15" ht="16.2" outlineLevel="1">
      <c r="A756" s="342" t="s">
        <v>888</v>
      </c>
      <c r="B756" s="343" t="s">
        <v>888</v>
      </c>
      <c r="C756" s="388" t="str">
        <f>IF(OR(I756&lt;&gt;0,H756&lt;&gt;0),"x"," ")</f>
        <v xml:space="preserve"> </v>
      </c>
      <c r="D756" s="345"/>
      <c r="E756" s="346" t="s">
        <v>889</v>
      </c>
      <c r="F756" s="347" t="s">
        <v>285</v>
      </c>
      <c r="G756" s="348"/>
      <c r="H756" s="349">
        <f>IFERROR(HLOOKUP(B756,'BKT-ThuHoi'!$5:$183,179,0),0)</f>
        <v>0</v>
      </c>
      <c r="I756" s="350">
        <f>H756+J756-K756</f>
        <v>0</v>
      </c>
      <c r="J756" s="350"/>
      <c r="K756" s="350"/>
      <c r="L756" s="350"/>
      <c r="M756" s="332"/>
      <c r="N756" s="340"/>
      <c r="O756" s="341"/>
    </row>
    <row r="757" spans="1:15" ht="16.2" outlineLevel="1">
      <c r="A757" s="288"/>
      <c r="B757" s="351" t="s">
        <v>868</v>
      </c>
      <c r="C757" s="388" t="str">
        <f>IF(OR(I757&lt;&gt;0,H757&lt;&gt;0),"x"," ")</f>
        <v xml:space="preserve"> </v>
      </c>
      <c r="D757" s="338"/>
      <c r="E757" s="358" t="str">
        <f>VLOOKUP($B757,DG!A:D,DG!$C$2,)&amp;"-Fe8x100 nhuùng keõm"</f>
        <v>Cổ dê Ø 195 nẹp trụ-Fe8x100 nhuùng keõm</v>
      </c>
      <c r="F757" s="338" t="str">
        <f>VLOOKUP($B757,DG!A:D,DG!$D$2,)</f>
        <v>bộ</v>
      </c>
      <c r="G757" s="359">
        <v>1</v>
      </c>
      <c r="H757" s="360">
        <f t="shared" ref="H757:H766" si="52">H$756*$G757</f>
        <v>0</v>
      </c>
      <c r="I757" s="360"/>
      <c r="J757" s="360"/>
      <c r="K757" s="360"/>
      <c r="L757" s="360"/>
      <c r="M757" s="332"/>
      <c r="N757" s="340"/>
      <c r="O757" s="341"/>
    </row>
    <row r="758" spans="1:15" ht="16.2" outlineLevel="1">
      <c r="A758" s="288"/>
      <c r="B758" s="351" t="s">
        <v>876</v>
      </c>
      <c r="C758" s="388" t="str">
        <f>IF(OR(I758&lt;&gt;0,H758&lt;&gt;0),"x"," ")</f>
        <v xml:space="preserve"> </v>
      </c>
      <c r="D758" s="338"/>
      <c r="E758" s="358" t="str">
        <f>VLOOKUP($B758,DG!A:D,DG!$C$2,)&amp;"-Fe8x100 nhuùng keõm"</f>
        <v>Cổ dê Ø 220 nẹp trụ-Fe8x100 nhuùng keõm</v>
      </c>
      <c r="F758" s="338" t="str">
        <f>VLOOKUP($B758,DG!A:D,DG!$D$2,)</f>
        <v>bộ</v>
      </c>
      <c r="G758" s="359">
        <v>1</v>
      </c>
      <c r="H758" s="360">
        <f t="shared" si="52"/>
        <v>0</v>
      </c>
      <c r="I758" s="360"/>
      <c r="J758" s="360"/>
      <c r="K758" s="360"/>
      <c r="L758" s="360"/>
      <c r="M758" s="332"/>
      <c r="N758" s="340"/>
      <c r="O758" s="341"/>
    </row>
    <row r="759" spans="1:15" ht="16.2" outlineLevel="1">
      <c r="A759" s="288"/>
      <c r="B759" s="351" t="s">
        <v>821</v>
      </c>
      <c r="C759" s="388" t="str">
        <f>IF(OR(I759&lt;&gt;0,H759&lt;&gt;0),"x"," ")</f>
        <v xml:space="preserve"> </v>
      </c>
      <c r="D759" s="338"/>
      <c r="E759" s="358" t="str">
        <f>VLOOKUP($B759,DG!A:D,DG!$C$2,)</f>
        <v>Sứ chằng</v>
      </c>
      <c r="F759" s="338" t="str">
        <f>VLOOKUP($B759,DG!A:D,DG!$D$2,)</f>
        <v>cái</v>
      </c>
      <c r="G759" s="359">
        <v>2</v>
      </c>
      <c r="H759" s="360">
        <f t="shared" si="52"/>
        <v>0</v>
      </c>
      <c r="I759" s="360"/>
      <c r="J759" s="360"/>
      <c r="K759" s="360"/>
      <c r="L759" s="360"/>
      <c r="M759" s="332"/>
      <c r="N759" s="340"/>
      <c r="O759" s="341"/>
    </row>
    <row r="760" spans="1:15" ht="16.2" outlineLevel="1">
      <c r="A760" s="288"/>
      <c r="B760" s="351" t="s">
        <v>822</v>
      </c>
      <c r="C760" s="388" t="str">
        <f>IF(OR(I760&lt;&gt;0,H760&lt;&gt;0),"x"," ")</f>
        <v xml:space="preserve"> </v>
      </c>
      <c r="D760" s="338"/>
      <c r="E760" s="358" t="str">
        <f>VLOOKUP($B760,DG!A:D,DG!$C$2,)</f>
        <v>Kẹp cáp 3 boulon</v>
      </c>
      <c r="F760" s="338" t="str">
        <f>VLOOKUP($B760,DG!A:D,DG!$D$2,)</f>
        <v>cái</v>
      </c>
      <c r="G760" s="359">
        <v>16</v>
      </c>
      <c r="H760" s="360">
        <f t="shared" si="52"/>
        <v>0</v>
      </c>
      <c r="I760" s="360"/>
      <c r="J760" s="360"/>
      <c r="K760" s="360"/>
      <c r="L760" s="360"/>
      <c r="M760" s="332"/>
      <c r="N760" s="340"/>
      <c r="O760" s="341"/>
    </row>
    <row r="761" spans="1:15" ht="16.2" outlineLevel="1">
      <c r="A761" s="288"/>
      <c r="B761" s="403" t="s">
        <v>1015</v>
      </c>
      <c r="C761" s="388" t="str">
        <f>IF(OR(I761&lt;&gt;0,H761&lt;&gt;0),"x"," ")</f>
        <v xml:space="preserve"> </v>
      </c>
      <c r="D761" s="338"/>
      <c r="E761" s="358" t="str">
        <f>VLOOKUP($B761,DG!A:D,DG!$C$2,)</f>
        <v>Kẹp hotline 4/0</v>
      </c>
      <c r="F761" s="338" t="str">
        <f>VLOOKUP($B761,DG!A:D,DG!$D$2,)</f>
        <v>cái</v>
      </c>
      <c r="G761" s="359">
        <v>36</v>
      </c>
      <c r="H761" s="360">
        <f t="shared" si="52"/>
        <v>0</v>
      </c>
      <c r="I761" s="360"/>
      <c r="J761" s="360"/>
      <c r="K761" s="360"/>
      <c r="L761" s="360"/>
      <c r="M761" s="332"/>
      <c r="N761" s="340"/>
      <c r="O761" s="341"/>
    </row>
    <row r="762" spans="1:15" ht="16.2" outlineLevel="1">
      <c r="A762" s="288"/>
      <c r="B762" s="351" t="s">
        <v>791</v>
      </c>
      <c r="C762" s="388" t="str">
        <f>IF(OR(I762&lt;&gt;0,H762&lt;&gt;0),"x"," ")</f>
        <v xml:space="preserve"> </v>
      </c>
      <c r="D762" s="338"/>
      <c r="E762" s="358" t="str">
        <f>VLOOKUP($B762,DG!A:D,DG!$C$2,)</f>
        <v>Sắt dẹt 60 x 6</v>
      </c>
      <c r="F762" s="338" t="str">
        <f>VLOOKUP($B762,DG!A:D,DG!$D$2,)</f>
        <v>kg</v>
      </c>
      <c r="G762" s="359">
        <v>4</v>
      </c>
      <c r="H762" s="360">
        <f t="shared" si="52"/>
        <v>0</v>
      </c>
      <c r="I762" s="360"/>
      <c r="J762" s="360"/>
      <c r="K762" s="360"/>
      <c r="L762" s="360"/>
      <c r="M762" s="332"/>
      <c r="N762" s="340"/>
      <c r="O762" s="341"/>
    </row>
    <row r="763" spans="1:15" ht="16.2" outlineLevel="1">
      <c r="A763" s="288"/>
      <c r="B763" s="351" t="s">
        <v>869</v>
      </c>
      <c r="C763" s="388" t="str">
        <f>IF(OR(I763&lt;&gt;0,H763&lt;&gt;0),"x"," ")</f>
        <v xml:space="preserve"> </v>
      </c>
      <c r="D763" s="338"/>
      <c r="E763" s="358" t="str">
        <f>VLOOKUP($B763,DG!A:D,DG!$C$2,)</f>
        <v xml:space="preserve">Móc treo chữ U </v>
      </c>
      <c r="F763" s="338" t="str">
        <f>VLOOKUP($B763,DG!A:D,DG!$D$2,)</f>
        <v>cái</v>
      </c>
      <c r="G763" s="359">
        <v>2</v>
      </c>
      <c r="H763" s="360">
        <f t="shared" si="52"/>
        <v>0</v>
      </c>
      <c r="I763" s="360"/>
      <c r="J763" s="360"/>
      <c r="K763" s="360"/>
      <c r="L763" s="360"/>
      <c r="M763" s="332"/>
      <c r="N763" s="340"/>
      <c r="O763" s="341"/>
    </row>
    <row r="764" spans="1:15" ht="16.2" outlineLevel="1">
      <c r="A764" s="288"/>
      <c r="B764" s="404" t="s">
        <v>870</v>
      </c>
      <c r="C764" s="388" t="str">
        <f>IF(OR(I764&lt;&gt;0,H764&lt;&gt;0),"x"," ")</f>
        <v xml:space="preserve"> </v>
      </c>
      <c r="D764" s="338"/>
      <c r="E764" s="358" t="str">
        <f>VLOOKUP($B764,DG!A:D,DG!$C$2,)</f>
        <v>Boulon 16x100VRS+ 4 long đền vuông D18-50x50x3/Zn</v>
      </c>
      <c r="F764" s="338" t="str">
        <f>VLOOKUP($B764,DG!A:D,DG!$D$2,)</f>
        <v>bộ</v>
      </c>
      <c r="G764" s="359">
        <v>4</v>
      </c>
      <c r="H764" s="360">
        <f t="shared" si="52"/>
        <v>0</v>
      </c>
      <c r="I764" s="360"/>
      <c r="J764" s="360"/>
      <c r="K764" s="360"/>
      <c r="L764" s="360"/>
      <c r="M764" s="332"/>
      <c r="N764" s="340"/>
      <c r="O764" s="341"/>
    </row>
    <row r="765" spans="1:15" ht="16.2" outlineLevel="1">
      <c r="A765" s="288"/>
      <c r="B765" s="351" t="s">
        <v>824</v>
      </c>
      <c r="C765" s="388" t="str">
        <f>IF(OR(I765&lt;&gt;0,H765&lt;&gt;0),"x"," ")</f>
        <v xml:space="preserve"> </v>
      </c>
      <c r="D765" s="338"/>
      <c r="E765" s="358" t="str">
        <f>VLOOKUP($B765,DG!A:D,DG!$C$2,)</f>
        <v>Yếm cáp dày 2mm</v>
      </c>
      <c r="F765" s="338" t="str">
        <f>VLOOKUP($B765,DG!A:D,DG!$D$2,)</f>
        <v>cái</v>
      </c>
      <c r="G765" s="359">
        <v>4</v>
      </c>
      <c r="H765" s="360">
        <f t="shared" si="52"/>
        <v>0</v>
      </c>
      <c r="I765" s="360"/>
      <c r="J765" s="360"/>
      <c r="K765" s="360"/>
      <c r="L765" s="360"/>
      <c r="M765" s="332"/>
      <c r="N765" s="340"/>
      <c r="O765" s="341"/>
    </row>
    <row r="766" spans="1:15" ht="16.2" outlineLevel="1">
      <c r="A766" s="288"/>
      <c r="B766" s="351" t="s">
        <v>825</v>
      </c>
      <c r="C766" s="388" t="str">
        <f>IF(OR(I766&lt;&gt;0,H766&lt;&gt;0),"x"," ")</f>
        <v xml:space="preserve"> </v>
      </c>
      <c r="D766" s="338"/>
      <c r="E766" s="358" t="str">
        <f>VLOOKUP($B766,DG!A:D,DG!$C$2,)</f>
        <v>Máng che dây chằng dày 1,6mm</v>
      </c>
      <c r="F766" s="338" t="str">
        <f>VLOOKUP($B766,DG!A:D,DG!$D$2,)</f>
        <v>cái</v>
      </c>
      <c r="G766" s="359">
        <v>2</v>
      </c>
      <c r="H766" s="360">
        <f t="shared" si="52"/>
        <v>0</v>
      </c>
      <c r="I766" s="360"/>
      <c r="J766" s="360"/>
      <c r="K766" s="360"/>
      <c r="L766" s="360"/>
      <c r="M766" s="332"/>
      <c r="N766" s="340"/>
      <c r="O766" s="341"/>
    </row>
    <row r="767" spans="1:15" ht="16.2" outlineLevel="1">
      <c r="A767" s="288"/>
      <c r="B767" s="351" t="s">
        <v>826</v>
      </c>
      <c r="C767" s="388" t="str">
        <f>IF(OR(I767&lt;&gt;0,H767&lt;&gt;0),"x"," ")</f>
        <v xml:space="preserve"> </v>
      </c>
      <c r="D767" s="338" t="str">
        <f>VLOOKUP($B767,DG!A:D,DG!$B$2,)</f>
        <v>06.3241</v>
      </c>
      <c r="E767" s="366" t="str">
        <f>VLOOKUP($B767,DG!A:D,DG!$C$2,)</f>
        <v>Lắp bộ dây néo</v>
      </c>
      <c r="F767" s="338" t="str">
        <f>VLOOKUP($B767,DG!A:D,DG!$D$2,)</f>
        <v>bộ</v>
      </c>
      <c r="G767" s="359">
        <f>G757</f>
        <v>1</v>
      </c>
      <c r="H767" s="354"/>
      <c r="I767" s="354"/>
      <c r="J767" s="354"/>
      <c r="K767" s="354"/>
      <c r="L767" s="354"/>
      <c r="M767" s="332"/>
      <c r="N767" s="340"/>
      <c r="O767" s="341"/>
    </row>
    <row r="768" spans="1:15" ht="16.2" outlineLevel="1">
      <c r="A768" s="288"/>
      <c r="B768" s="351" t="s">
        <v>871</v>
      </c>
      <c r="C768" s="388" t="str">
        <f>IF(OR(I768&lt;&gt;0,H768&lt;&gt;0),"x"," ")</f>
        <v xml:space="preserve"> </v>
      </c>
      <c r="D768" s="338" t="str">
        <f>VLOOKUP($B768,DG!A:D,DG!$B$2,)</f>
        <v>06.2110</v>
      </c>
      <c r="E768" s="366" t="str">
        <f>VLOOKUP($B768,DG!A:D,DG!$C$2,)</f>
        <v>Lắp cổ dề</v>
      </c>
      <c r="F768" s="338" t="str">
        <f>VLOOKUP($B768,DG!A:D,DG!$D$2,)</f>
        <v>cái</v>
      </c>
      <c r="G768" s="359">
        <v>2</v>
      </c>
      <c r="H768" s="354"/>
      <c r="I768" s="354"/>
      <c r="J768" s="354"/>
      <c r="K768" s="354"/>
      <c r="L768" s="354"/>
      <c r="M768" s="332"/>
      <c r="N768" s="340"/>
      <c r="O768" s="341"/>
    </row>
    <row r="769" spans="1:15" ht="16.2" outlineLevel="1">
      <c r="A769" s="288"/>
      <c r="B769" s="356" t="s">
        <v>827</v>
      </c>
      <c r="C769" s="388" t="str">
        <f>IF(OR(I769&lt;&gt;0,H769&lt;&gt;0),"x"," ")</f>
        <v xml:space="preserve"> </v>
      </c>
      <c r="D769" s="338" t="str">
        <f>VLOOKUP($B769,DG!A:C,2,)</f>
        <v>02.1421</v>
      </c>
      <c r="E769" s="366" t="str">
        <f>VLOOKUP($B769,DG!A:C,3,)</f>
        <v>V/c phụ kiện vào vị trí (cự ly &lt;=100m)</v>
      </c>
      <c r="F769" s="338" t="str">
        <f>VLOOKUP($B769,DG!A:D,4,0)</f>
        <v>tấn</v>
      </c>
      <c r="G769" s="357">
        <v>0.02</v>
      </c>
      <c r="H769" s="354"/>
      <c r="I769" s="354"/>
      <c r="J769" s="354"/>
      <c r="K769" s="354"/>
      <c r="L769" s="354"/>
      <c r="M769" s="332"/>
      <c r="N769" s="340"/>
      <c r="O769" s="341"/>
    </row>
    <row r="770" spans="1:15" ht="16.2" outlineLevel="1">
      <c r="A770" s="342" t="s">
        <v>890</v>
      </c>
      <c r="B770" s="343" t="s">
        <v>890</v>
      </c>
      <c r="C770" s="388" t="str">
        <f>IF(OR(I770&lt;&gt;0,H770&lt;&gt;0),"x"," ")</f>
        <v xml:space="preserve"> </v>
      </c>
      <c r="D770" s="345"/>
      <c r="E770" s="346" t="s">
        <v>891</v>
      </c>
      <c r="F770" s="347" t="s">
        <v>285</v>
      </c>
      <c r="G770" s="348"/>
      <c r="H770" s="349">
        <f>IFERROR(HLOOKUP(B770,'BKT-ThuHoi'!$5:$183,179,0),0)</f>
        <v>0</v>
      </c>
      <c r="I770" s="350">
        <f>H770+J770-K770</f>
        <v>0</v>
      </c>
      <c r="J770" s="350"/>
      <c r="K770" s="350"/>
      <c r="L770" s="350"/>
      <c r="M770" s="332"/>
      <c r="N770" s="340"/>
      <c r="O770" s="341"/>
    </row>
    <row r="771" spans="1:15" ht="16.2" outlineLevel="1">
      <c r="A771" s="288"/>
      <c r="B771" s="351" t="s">
        <v>868</v>
      </c>
      <c r="C771" s="388" t="str">
        <f>IF(OR(I771&lt;&gt;0,H771&lt;&gt;0),"x"," ")</f>
        <v xml:space="preserve"> </v>
      </c>
      <c r="D771" s="363"/>
      <c r="E771" s="366" t="str">
        <f>VLOOKUP($B771,DG!A:D,DG!$C$2,)&amp;"-Fe8x100 nhuùng keõm"</f>
        <v>Cổ dê Ø 195 nẹp trụ-Fe8x100 nhuùng keõm</v>
      </c>
      <c r="F771" s="363" t="str">
        <f>VLOOKUP($B771,DG!A:D,DG!$D$2,)</f>
        <v>bộ</v>
      </c>
      <c r="G771" s="367">
        <v>1</v>
      </c>
      <c r="H771" s="355">
        <f>H$770*$G771</f>
        <v>0</v>
      </c>
      <c r="I771" s="355"/>
      <c r="J771" s="355"/>
      <c r="K771" s="355"/>
      <c r="L771" s="355"/>
      <c r="M771" s="332"/>
      <c r="N771" s="340"/>
      <c r="O771" s="341"/>
    </row>
    <row r="772" spans="1:15" ht="16.2" outlineLevel="1">
      <c r="A772" s="288"/>
      <c r="B772" s="351" t="s">
        <v>821</v>
      </c>
      <c r="C772" s="388" t="str">
        <f>IF(OR(I772&lt;&gt;0,H772&lt;&gt;0),"x"," ")</f>
        <v xml:space="preserve"> </v>
      </c>
      <c r="D772" s="363"/>
      <c r="E772" s="366" t="str">
        <f>VLOOKUP($B772,DG!A:D,DG!$C$2,)</f>
        <v>Sứ chằng</v>
      </c>
      <c r="F772" s="363" t="str">
        <f>VLOOKUP($B772,DG!A:D,DG!$D$2,)</f>
        <v>cái</v>
      </c>
      <c r="G772" s="367">
        <v>2</v>
      </c>
      <c r="H772" s="355">
        <f t="shared" ref="H772:H779" si="53">H$770*$G772</f>
        <v>0</v>
      </c>
      <c r="I772" s="355"/>
      <c r="J772" s="355"/>
      <c r="K772" s="355"/>
      <c r="L772" s="355"/>
      <c r="M772" s="332"/>
      <c r="N772" s="340"/>
      <c r="O772" s="341"/>
    </row>
    <row r="773" spans="1:15" ht="16.2" outlineLevel="1">
      <c r="A773" s="288"/>
      <c r="B773" s="351" t="s">
        <v>822</v>
      </c>
      <c r="C773" s="388" t="str">
        <f>IF(OR(I773&lt;&gt;0,H773&lt;&gt;0),"x"," ")</f>
        <v xml:space="preserve"> </v>
      </c>
      <c r="D773" s="363"/>
      <c r="E773" s="366" t="str">
        <f>VLOOKUP($B773,DG!A:D,DG!$C$2,)</f>
        <v>Kẹp cáp 3 boulon</v>
      </c>
      <c r="F773" s="363" t="str">
        <f>VLOOKUP($B773,DG!A:D,DG!$D$2,)</f>
        <v>cái</v>
      </c>
      <c r="G773" s="367">
        <v>8</v>
      </c>
      <c r="H773" s="355">
        <f t="shared" si="53"/>
        <v>0</v>
      </c>
      <c r="I773" s="355"/>
      <c r="J773" s="355"/>
      <c r="K773" s="355"/>
      <c r="L773" s="355"/>
      <c r="M773" s="332"/>
      <c r="N773" s="340"/>
      <c r="O773" s="341"/>
    </row>
    <row r="774" spans="1:15" ht="16.2" outlineLevel="1">
      <c r="A774" s="288"/>
      <c r="B774" s="351" t="s">
        <v>848</v>
      </c>
      <c r="C774" s="388" t="str">
        <f>IF(OR(I774&lt;&gt;0,H774&lt;&gt;0),"x"," ")</f>
        <v xml:space="preserve"> </v>
      </c>
      <c r="D774" s="363"/>
      <c r="E774" s="366" t="str">
        <f>VLOOKUP($B774,DG!A:D,DG!$C$2,)</f>
        <v>Cáp thép 5/8"</v>
      </c>
      <c r="F774" s="363" t="str">
        <f>VLOOKUP($B774,DG!A:D,DG!$D$2,)</f>
        <v>kg</v>
      </c>
      <c r="G774" s="367">
        <v>19</v>
      </c>
      <c r="H774" s="355">
        <f t="shared" si="53"/>
        <v>0</v>
      </c>
      <c r="I774" s="355"/>
      <c r="J774" s="355"/>
      <c r="K774" s="355"/>
      <c r="L774" s="355"/>
      <c r="M774" s="332"/>
      <c r="N774" s="340"/>
      <c r="O774" s="341"/>
    </row>
    <row r="775" spans="1:15" ht="16.2" outlineLevel="1">
      <c r="A775" s="288"/>
      <c r="B775" s="351" t="s">
        <v>791</v>
      </c>
      <c r="C775" s="388" t="str">
        <f>IF(OR(I775&lt;&gt;0,H775&lt;&gt;0),"x"," ")</f>
        <v xml:space="preserve"> </v>
      </c>
      <c r="D775" s="363"/>
      <c r="E775" s="366" t="str">
        <f>VLOOKUP($B775,DG!A:D,DG!$C$2,)</f>
        <v>Sắt dẹt 60 x 6</v>
      </c>
      <c r="F775" s="363" t="str">
        <f>VLOOKUP($B775,DG!A:D,DG!$D$2,)</f>
        <v>kg</v>
      </c>
      <c r="G775" s="367">
        <v>2</v>
      </c>
      <c r="H775" s="355">
        <f t="shared" si="53"/>
        <v>0</v>
      </c>
      <c r="I775" s="355"/>
      <c r="J775" s="355"/>
      <c r="K775" s="355"/>
      <c r="L775" s="355"/>
      <c r="M775" s="332"/>
      <c r="N775" s="340"/>
      <c r="O775" s="341"/>
    </row>
    <row r="776" spans="1:15" ht="16.2" outlineLevel="1">
      <c r="A776" s="288"/>
      <c r="B776" s="351" t="s">
        <v>869</v>
      </c>
      <c r="C776" s="388" t="str">
        <f>IF(OR(I776&lt;&gt;0,H776&lt;&gt;0),"x"," ")</f>
        <v xml:space="preserve"> </v>
      </c>
      <c r="D776" s="363"/>
      <c r="E776" s="366" t="str">
        <f>VLOOKUP($B776,DG!A:D,DG!$C$2,)</f>
        <v xml:space="preserve">Móc treo chữ U </v>
      </c>
      <c r="F776" s="363" t="str">
        <f>VLOOKUP($B776,DG!A:D,DG!$D$2,)</f>
        <v>cái</v>
      </c>
      <c r="G776" s="367">
        <v>1</v>
      </c>
      <c r="H776" s="355">
        <f t="shared" si="53"/>
        <v>0</v>
      </c>
      <c r="I776" s="355"/>
      <c r="J776" s="355"/>
      <c r="K776" s="355"/>
      <c r="L776" s="355"/>
      <c r="M776" s="332"/>
      <c r="N776" s="340"/>
      <c r="O776" s="341"/>
    </row>
    <row r="777" spans="1:15" ht="16.2" outlineLevel="1">
      <c r="A777" s="288"/>
      <c r="B777" s="404" t="s">
        <v>870</v>
      </c>
      <c r="C777" s="388" t="str">
        <f>IF(OR(I777&lt;&gt;0,H777&lt;&gt;0),"x"," ")</f>
        <v xml:space="preserve"> </v>
      </c>
      <c r="D777" s="363"/>
      <c r="E777" s="366" t="str">
        <f>VLOOKUP($B777,DG!A:D,DG!$C$2,)</f>
        <v>Boulon 16x100VRS+ 4 long đền vuông D18-50x50x3/Zn</v>
      </c>
      <c r="F777" s="363" t="str">
        <f>VLOOKUP($B777,DG!A:D,DG!$D$2,)</f>
        <v>bộ</v>
      </c>
      <c r="G777" s="367">
        <v>2</v>
      </c>
      <c r="H777" s="355">
        <f t="shared" si="53"/>
        <v>0</v>
      </c>
      <c r="I777" s="355"/>
      <c r="J777" s="355"/>
      <c r="K777" s="355"/>
      <c r="L777" s="355"/>
      <c r="M777" s="332"/>
      <c r="N777" s="340"/>
      <c r="O777" s="341"/>
    </row>
    <row r="778" spans="1:15" ht="16.2" outlineLevel="1">
      <c r="A778" s="288"/>
      <c r="B778" s="351" t="s">
        <v>824</v>
      </c>
      <c r="C778" s="388" t="str">
        <f>IF(OR(I778&lt;&gt;0,H778&lt;&gt;0),"x"," ")</f>
        <v xml:space="preserve"> </v>
      </c>
      <c r="D778" s="363"/>
      <c r="E778" s="366" t="str">
        <f>VLOOKUP($B778,DG!A:D,DG!$C$2,)</f>
        <v>Yếm cáp dày 2mm</v>
      </c>
      <c r="F778" s="363" t="str">
        <f>VLOOKUP($B778,DG!A:D,DG!$D$2,)</f>
        <v>cái</v>
      </c>
      <c r="G778" s="367">
        <v>2</v>
      </c>
      <c r="H778" s="355">
        <f t="shared" si="53"/>
        <v>0</v>
      </c>
      <c r="I778" s="355"/>
      <c r="J778" s="355"/>
      <c r="K778" s="355"/>
      <c r="L778" s="355"/>
      <c r="M778" s="332"/>
      <c r="N778" s="340"/>
      <c r="O778" s="341"/>
    </row>
    <row r="779" spans="1:15" ht="16.2" outlineLevel="1">
      <c r="A779" s="288"/>
      <c r="B779" s="351" t="s">
        <v>825</v>
      </c>
      <c r="C779" s="388" t="str">
        <f>IF(OR(I779&lt;&gt;0,H779&lt;&gt;0),"x"," ")</f>
        <v xml:space="preserve"> </v>
      </c>
      <c r="D779" s="363"/>
      <c r="E779" s="366" t="str">
        <f>VLOOKUP($B779,DG!A:D,DG!$C$2,)</f>
        <v>Máng che dây chằng dày 1,6mm</v>
      </c>
      <c r="F779" s="363" t="str">
        <f>VLOOKUP($B779,DG!A:D,DG!$D$2,)</f>
        <v>cái</v>
      </c>
      <c r="G779" s="367">
        <v>1</v>
      </c>
      <c r="H779" s="355">
        <f t="shared" si="53"/>
        <v>0</v>
      </c>
      <c r="I779" s="355"/>
      <c r="J779" s="355"/>
      <c r="K779" s="355"/>
      <c r="L779" s="355"/>
      <c r="M779" s="332"/>
      <c r="N779" s="340"/>
      <c r="O779" s="341"/>
    </row>
    <row r="780" spans="1:15" ht="16.2" outlineLevel="1">
      <c r="A780" s="288"/>
      <c r="B780" s="351" t="s">
        <v>826</v>
      </c>
      <c r="C780" s="388" t="str">
        <f>IF(OR(I780&lt;&gt;0,H780&lt;&gt;0),"x"," ")</f>
        <v xml:space="preserve"> </v>
      </c>
      <c r="D780" s="363" t="str">
        <f>VLOOKUP($B780,DG!A:D,DG!$B$2,)</f>
        <v>06.3241</v>
      </c>
      <c r="E780" s="366" t="str">
        <f>VLOOKUP($B780,DG!A:D,DG!$C$2,)</f>
        <v>Lắp bộ dây néo</v>
      </c>
      <c r="F780" s="363" t="str">
        <f>VLOOKUP($B780,DG!A:D,DG!$D$2,)</f>
        <v>bộ</v>
      </c>
      <c r="G780" s="367">
        <f>G771</f>
        <v>1</v>
      </c>
      <c r="H780" s="364"/>
      <c r="I780" s="364"/>
      <c r="J780" s="364"/>
      <c r="K780" s="364"/>
      <c r="L780" s="364"/>
      <c r="M780" s="332"/>
      <c r="N780" s="340"/>
      <c r="O780" s="341"/>
    </row>
    <row r="781" spans="1:15" ht="16.2" outlineLevel="1">
      <c r="A781" s="288"/>
      <c r="B781" s="351" t="s">
        <v>871</v>
      </c>
      <c r="C781" s="388" t="str">
        <f>IF(OR(I781&lt;&gt;0,H781&lt;&gt;0),"x"," ")</f>
        <v xml:space="preserve"> </v>
      </c>
      <c r="D781" s="363" t="str">
        <f>VLOOKUP($B781,DG!A:D,DG!$B$2,)</f>
        <v>06.2110</v>
      </c>
      <c r="E781" s="366" t="str">
        <f>VLOOKUP($B781,DG!A:D,DG!$C$2,)</f>
        <v>Lắp cổ dề</v>
      </c>
      <c r="F781" s="363" t="str">
        <f>VLOOKUP($B781,DG!A:D,DG!$D$2,)</f>
        <v>cái</v>
      </c>
      <c r="G781" s="367">
        <v>1</v>
      </c>
      <c r="H781" s="364"/>
      <c r="I781" s="364"/>
      <c r="J781" s="364"/>
      <c r="K781" s="364"/>
      <c r="L781" s="364"/>
      <c r="M781" s="332"/>
      <c r="N781" s="340"/>
      <c r="O781" s="341"/>
    </row>
    <row r="782" spans="1:15" ht="16.2" outlineLevel="1">
      <c r="A782" s="288"/>
      <c r="B782" s="356" t="s">
        <v>827</v>
      </c>
      <c r="C782" s="388" t="str">
        <f>IF(OR(I782&lt;&gt;0,H782&lt;&gt;0),"x"," ")</f>
        <v xml:space="preserve"> </v>
      </c>
      <c r="D782" s="363" t="str">
        <f>VLOOKUP($B782,DG!A:C,2,)</f>
        <v>02.1421</v>
      </c>
      <c r="E782" s="366" t="str">
        <f>VLOOKUP($B782,DG!A:C,3,)</f>
        <v>V/c phụ kiện vào vị trí (cự ly &lt;=100m)</v>
      </c>
      <c r="F782" s="363" t="str">
        <f>VLOOKUP($B782,DG!A:D,4,0)</f>
        <v>tấn</v>
      </c>
      <c r="G782" s="365">
        <v>0.02</v>
      </c>
      <c r="H782" s="364"/>
      <c r="I782" s="364"/>
      <c r="J782" s="364"/>
      <c r="K782" s="364"/>
      <c r="L782" s="364"/>
      <c r="M782" s="332"/>
      <c r="N782" s="340"/>
      <c r="O782" s="341"/>
    </row>
    <row r="783" spans="1:15" ht="16.2" outlineLevel="1">
      <c r="A783" s="342" t="s">
        <v>892</v>
      </c>
      <c r="B783" s="343" t="s">
        <v>892</v>
      </c>
      <c r="C783" s="388" t="str">
        <f>IF(OR(I783&lt;&gt;0,H783&lt;&gt;0),"x"," ")</f>
        <v xml:space="preserve"> </v>
      </c>
      <c r="D783" s="345"/>
      <c r="E783" s="346" t="s">
        <v>893</v>
      </c>
      <c r="F783" s="347" t="s">
        <v>285</v>
      </c>
      <c r="G783" s="348"/>
      <c r="H783" s="349">
        <f>IFERROR(HLOOKUP(B783,'BKT-ThuHoi'!$5:$183,179,0),0)</f>
        <v>0</v>
      </c>
      <c r="I783" s="350">
        <f>H783+J783-K783</f>
        <v>0</v>
      </c>
      <c r="J783" s="350"/>
      <c r="K783" s="350"/>
      <c r="L783" s="350"/>
      <c r="M783" s="332"/>
      <c r="N783" s="340"/>
      <c r="O783" s="341"/>
    </row>
    <row r="784" spans="1:15" ht="16.2" outlineLevel="1">
      <c r="A784" s="288"/>
      <c r="B784" s="351" t="s">
        <v>868</v>
      </c>
      <c r="C784" s="388" t="str">
        <f>IF(OR(I784&lt;&gt;0,H784&lt;&gt;0),"x"," ")</f>
        <v xml:space="preserve"> </v>
      </c>
      <c r="D784" s="338"/>
      <c r="E784" s="358" t="str">
        <f>VLOOKUP($B784,DG!A:D,DG!$C$2,)&amp;"-Fe8x100 nhuùng keõm"</f>
        <v>Cổ dê Ø 195 nẹp trụ-Fe8x100 nhuùng keõm</v>
      </c>
      <c r="F784" s="338" t="str">
        <f>VLOOKUP($B784,DG!A:D,DG!$D$2,)</f>
        <v>bộ</v>
      </c>
      <c r="G784" s="359">
        <v>1</v>
      </c>
      <c r="H784" s="360">
        <f t="shared" ref="H784:H791" si="54">H$783*$G784</f>
        <v>0</v>
      </c>
      <c r="I784" s="360"/>
      <c r="J784" s="360"/>
      <c r="K784" s="360"/>
      <c r="L784" s="360"/>
      <c r="M784" s="332"/>
      <c r="N784" s="340"/>
      <c r="O784" s="341"/>
    </row>
    <row r="785" spans="1:15" ht="16.2" outlineLevel="1">
      <c r="A785" s="288"/>
      <c r="B785" s="351" t="s">
        <v>821</v>
      </c>
      <c r="C785" s="388" t="str">
        <f>IF(OR(I785&lt;&gt;0,H785&lt;&gt;0),"x"," ")</f>
        <v xml:space="preserve"> </v>
      </c>
      <c r="D785" s="338"/>
      <c r="E785" s="358" t="str">
        <f>VLOOKUP($B785,DG!A:D,DG!$C$2,)</f>
        <v>Sứ chằng</v>
      </c>
      <c r="F785" s="338" t="str">
        <f>VLOOKUP($B785,DG!A:D,DG!$D$2,)</f>
        <v>cái</v>
      </c>
      <c r="G785" s="359">
        <v>2</v>
      </c>
      <c r="H785" s="360">
        <f t="shared" si="54"/>
        <v>0</v>
      </c>
      <c r="I785" s="360"/>
      <c r="J785" s="360"/>
      <c r="K785" s="360"/>
      <c r="L785" s="360"/>
      <c r="M785" s="332"/>
      <c r="N785" s="340"/>
      <c r="O785" s="341"/>
    </row>
    <row r="786" spans="1:15" ht="16.2" outlineLevel="1">
      <c r="A786" s="288"/>
      <c r="B786" s="351" t="s">
        <v>822</v>
      </c>
      <c r="C786" s="388" t="str">
        <f>IF(OR(I786&lt;&gt;0,H786&lt;&gt;0),"x"," ")</f>
        <v xml:space="preserve"> </v>
      </c>
      <c r="D786" s="338"/>
      <c r="E786" s="358" t="str">
        <f>VLOOKUP($B786,DG!A:D,DG!$C$2,)</f>
        <v>Kẹp cáp 3 boulon</v>
      </c>
      <c r="F786" s="338" t="str">
        <f>VLOOKUP($B786,DG!A:D,DG!$D$2,)</f>
        <v>cái</v>
      </c>
      <c r="G786" s="359">
        <v>12</v>
      </c>
      <c r="H786" s="360">
        <f t="shared" si="54"/>
        <v>0</v>
      </c>
      <c r="I786" s="360"/>
      <c r="J786" s="360"/>
      <c r="K786" s="360"/>
      <c r="L786" s="360"/>
      <c r="M786" s="332"/>
      <c r="N786" s="340"/>
      <c r="O786" s="341"/>
    </row>
    <row r="787" spans="1:15" ht="16.2" outlineLevel="1">
      <c r="A787" s="288"/>
      <c r="B787" s="403" t="s">
        <v>1015</v>
      </c>
      <c r="C787" s="388" t="str">
        <f>IF(OR(I787&lt;&gt;0,H787&lt;&gt;0),"x"," ")</f>
        <v xml:space="preserve"> </v>
      </c>
      <c r="D787" s="338"/>
      <c r="E787" s="358" t="str">
        <f>VLOOKUP($B787,DG!A:D,DG!$C$2,)</f>
        <v>Kẹp hotline 4/0</v>
      </c>
      <c r="F787" s="338" t="str">
        <f>VLOOKUP($B787,DG!A:D,DG!$D$2,)</f>
        <v>cái</v>
      </c>
      <c r="G787" s="359">
        <v>6</v>
      </c>
      <c r="H787" s="360">
        <f t="shared" si="54"/>
        <v>0</v>
      </c>
      <c r="I787" s="360"/>
      <c r="J787" s="360"/>
      <c r="K787" s="360"/>
      <c r="L787" s="360"/>
      <c r="M787" s="332"/>
      <c r="N787" s="340"/>
      <c r="O787" s="341"/>
    </row>
    <row r="788" spans="1:15" ht="16.2" outlineLevel="1">
      <c r="A788" s="288"/>
      <c r="B788" s="351" t="s">
        <v>791</v>
      </c>
      <c r="C788" s="388" t="str">
        <f>IF(OR(I788&lt;&gt;0,H788&lt;&gt;0),"x"," ")</f>
        <v xml:space="preserve"> </v>
      </c>
      <c r="D788" s="338"/>
      <c r="E788" s="358" t="str">
        <f>VLOOKUP($B788,DG!A:D,DG!$C$2,)</f>
        <v>Sắt dẹt 60 x 6</v>
      </c>
      <c r="F788" s="338" t="str">
        <f>VLOOKUP($B788,DG!A:D,DG!$D$2,)</f>
        <v>kg</v>
      </c>
      <c r="G788" s="359">
        <v>2</v>
      </c>
      <c r="H788" s="360">
        <f t="shared" si="54"/>
        <v>0</v>
      </c>
      <c r="I788" s="360"/>
      <c r="J788" s="360"/>
      <c r="K788" s="360"/>
      <c r="L788" s="360"/>
      <c r="M788" s="332"/>
      <c r="N788" s="340"/>
      <c r="O788" s="341"/>
    </row>
    <row r="789" spans="1:15" ht="16.2" outlineLevel="1">
      <c r="A789" s="288"/>
      <c r="B789" s="351" t="s">
        <v>869</v>
      </c>
      <c r="C789" s="388" t="str">
        <f>IF(OR(I789&lt;&gt;0,H789&lt;&gt;0),"x"," ")</f>
        <v xml:space="preserve"> </v>
      </c>
      <c r="D789" s="338"/>
      <c r="E789" s="358" t="str">
        <f>VLOOKUP($B789,DG!A:D,DG!$C$2,)</f>
        <v xml:space="preserve">Móc treo chữ U </v>
      </c>
      <c r="F789" s="338" t="str">
        <f>VLOOKUP($B789,DG!A:D,DG!$D$2,)</f>
        <v>cái</v>
      </c>
      <c r="G789" s="359">
        <v>2</v>
      </c>
      <c r="H789" s="360">
        <f t="shared" si="54"/>
        <v>0</v>
      </c>
      <c r="I789" s="360"/>
      <c r="J789" s="360"/>
      <c r="K789" s="360"/>
      <c r="L789" s="360"/>
      <c r="M789" s="332"/>
      <c r="N789" s="340"/>
      <c r="O789" s="341"/>
    </row>
    <row r="790" spans="1:15" ht="16.2" outlineLevel="1">
      <c r="A790" s="288"/>
      <c r="B790" s="404" t="s">
        <v>870</v>
      </c>
      <c r="C790" s="388" t="str">
        <f>IF(OR(I790&lt;&gt;0,H790&lt;&gt;0),"x"," ")</f>
        <v xml:space="preserve"> </v>
      </c>
      <c r="D790" s="338"/>
      <c r="E790" s="358" t="str">
        <f>VLOOKUP($B790,DG!A:D,DG!$C$2,)</f>
        <v>Boulon 16x100VRS+ 4 long đền vuông D18-50x50x3/Zn</v>
      </c>
      <c r="F790" s="338" t="str">
        <f>VLOOKUP($B790,DG!A:D,DG!$D$2,)</f>
        <v>bộ</v>
      </c>
      <c r="G790" s="359">
        <v>2</v>
      </c>
      <c r="H790" s="360">
        <f t="shared" si="54"/>
        <v>0</v>
      </c>
      <c r="I790" s="360"/>
      <c r="J790" s="360"/>
      <c r="K790" s="360"/>
      <c r="L790" s="360"/>
      <c r="M790" s="332"/>
      <c r="N790" s="340"/>
      <c r="O790" s="341"/>
    </row>
    <row r="791" spans="1:15" ht="16.2" outlineLevel="1">
      <c r="A791" s="288"/>
      <c r="B791" s="351" t="s">
        <v>824</v>
      </c>
      <c r="C791" s="388" t="str">
        <f>IF(OR(I791&lt;&gt;0,H791&lt;&gt;0),"x"," ")</f>
        <v xml:space="preserve"> </v>
      </c>
      <c r="D791" s="338"/>
      <c r="E791" s="358" t="str">
        <f>VLOOKUP($B791,DG!A:D,DG!$C$2,)</f>
        <v>Yếm cáp dày 2mm</v>
      </c>
      <c r="F791" s="338" t="str">
        <f>VLOOKUP($B791,DG!A:D,DG!$D$2,)</f>
        <v>cái</v>
      </c>
      <c r="G791" s="359">
        <v>2</v>
      </c>
      <c r="H791" s="360">
        <f t="shared" si="54"/>
        <v>0</v>
      </c>
      <c r="I791" s="360"/>
      <c r="J791" s="360"/>
      <c r="K791" s="360"/>
      <c r="L791" s="360"/>
      <c r="M791" s="332"/>
      <c r="N791" s="340"/>
      <c r="O791" s="341"/>
    </row>
    <row r="792" spans="1:15" ht="16.2" outlineLevel="1">
      <c r="A792" s="288"/>
      <c r="B792" s="351" t="s">
        <v>826</v>
      </c>
      <c r="C792" s="388" t="str">
        <f>IF(OR(I792&lt;&gt;0,H792&lt;&gt;0),"x"," ")</f>
        <v xml:space="preserve"> </v>
      </c>
      <c r="D792" s="338" t="str">
        <f>VLOOKUP($B792,DG!A:D,DG!$B$2,)</f>
        <v>06.3241</v>
      </c>
      <c r="E792" s="366" t="str">
        <f>VLOOKUP($B792,DG!A:D,DG!$C$2,)</f>
        <v>Lắp bộ dây néo</v>
      </c>
      <c r="F792" s="338" t="str">
        <f>VLOOKUP($B792,DG!A:D,DG!$D$2,)</f>
        <v>bộ</v>
      </c>
      <c r="G792" s="359">
        <f>G784</f>
        <v>1</v>
      </c>
      <c r="H792" s="354"/>
      <c r="I792" s="354"/>
      <c r="J792" s="354"/>
      <c r="K792" s="354"/>
      <c r="L792" s="354"/>
      <c r="M792" s="332"/>
      <c r="N792" s="340"/>
      <c r="O792" s="341"/>
    </row>
    <row r="793" spans="1:15" ht="16.2" outlineLevel="1">
      <c r="A793" s="288"/>
      <c r="B793" s="351" t="s">
        <v>871</v>
      </c>
      <c r="C793" s="388" t="str">
        <f>IF(OR(I793&lt;&gt;0,H793&lt;&gt;0),"x"," ")</f>
        <v xml:space="preserve"> </v>
      </c>
      <c r="D793" s="338" t="str">
        <f>VLOOKUP($B793,DG!A:D,DG!$B$2,)</f>
        <v>06.2110</v>
      </c>
      <c r="E793" s="366" t="str">
        <f>VLOOKUP($B793,DG!A:D,DG!$C$2,)</f>
        <v>Lắp cổ dề</v>
      </c>
      <c r="F793" s="338" t="str">
        <f>VLOOKUP($B793,DG!A:D,DG!$D$2,)</f>
        <v>cái</v>
      </c>
      <c r="G793" s="359">
        <v>1</v>
      </c>
      <c r="H793" s="354"/>
      <c r="I793" s="354"/>
      <c r="J793" s="354"/>
      <c r="K793" s="354"/>
      <c r="L793" s="354"/>
      <c r="M793" s="332"/>
      <c r="N793" s="340"/>
      <c r="O793" s="341"/>
    </row>
    <row r="794" spans="1:15" ht="16.2" outlineLevel="1">
      <c r="A794" s="288"/>
      <c r="B794" s="356" t="s">
        <v>827</v>
      </c>
      <c r="C794" s="388" t="str">
        <f>IF(OR(I794&lt;&gt;0,H794&lt;&gt;0),"x"," ")</f>
        <v xml:space="preserve"> </v>
      </c>
      <c r="D794" s="338" t="str">
        <f>VLOOKUP($B794,DG!A:C,2,)</f>
        <v>02.1421</v>
      </c>
      <c r="E794" s="366" t="str">
        <f>VLOOKUP($B794,DG!A:C,3,)</f>
        <v>V/c phụ kiện vào vị trí (cự ly &lt;=100m)</v>
      </c>
      <c r="F794" s="338" t="str">
        <f>VLOOKUP($B794,DG!A:D,4,0)</f>
        <v>tấn</v>
      </c>
      <c r="G794" s="357">
        <v>0.02</v>
      </c>
      <c r="H794" s="354"/>
      <c r="I794" s="354"/>
      <c r="J794" s="354"/>
      <c r="K794" s="354"/>
      <c r="L794" s="354"/>
      <c r="M794" s="332"/>
      <c r="N794" s="340"/>
      <c r="O794" s="341"/>
    </row>
    <row r="795" spans="1:15" ht="16.2" outlineLevel="1">
      <c r="A795" s="342" t="s">
        <v>894</v>
      </c>
      <c r="B795" s="343" t="s">
        <v>894</v>
      </c>
      <c r="C795" s="388" t="str">
        <f>IF(OR(I795&lt;&gt;0,H795&lt;&gt;0),"x"," ")</f>
        <v xml:space="preserve"> </v>
      </c>
      <c r="D795" s="345"/>
      <c r="E795" s="346" t="s">
        <v>895</v>
      </c>
      <c r="F795" s="347" t="s">
        <v>285</v>
      </c>
      <c r="G795" s="348"/>
      <c r="H795" s="349">
        <f>IFERROR(HLOOKUP(B795,'BKT-ThuHoi'!$5:$183,179,0),0)</f>
        <v>0</v>
      </c>
      <c r="I795" s="350">
        <f>H795+J795-K795</f>
        <v>0</v>
      </c>
      <c r="J795" s="350"/>
      <c r="K795" s="350"/>
      <c r="L795" s="350"/>
      <c r="M795" s="332"/>
      <c r="N795" s="340"/>
      <c r="O795" s="341"/>
    </row>
    <row r="796" spans="1:15" ht="16.2" outlineLevel="1">
      <c r="A796" s="288"/>
      <c r="B796" s="351" t="s">
        <v>868</v>
      </c>
      <c r="C796" s="388" t="str">
        <f>IF(OR(I796&lt;&gt;0,H796&lt;&gt;0),"x"," ")</f>
        <v xml:space="preserve"> </v>
      </c>
      <c r="D796" s="338"/>
      <c r="E796" s="358" t="str">
        <f>VLOOKUP($B796,DG!A:D,DG!$C$2,)&amp;"-Fe8x100 nhuùng keõm"</f>
        <v>Cổ dê Ø 195 nẹp trụ-Fe8x100 nhuùng keõm</v>
      </c>
      <c r="F796" s="338" t="str">
        <f>VLOOKUP($B796,DG!A:D,DG!$D$2,)</f>
        <v>bộ</v>
      </c>
      <c r="G796" s="359">
        <v>2</v>
      </c>
      <c r="H796" s="360">
        <f t="shared" ref="H796:H803" si="55">H$795*$G796</f>
        <v>0</v>
      </c>
      <c r="I796" s="360"/>
      <c r="J796" s="360"/>
      <c r="K796" s="360"/>
      <c r="L796" s="360"/>
      <c r="M796" s="332"/>
      <c r="N796" s="340"/>
      <c r="O796" s="341"/>
    </row>
    <row r="797" spans="1:15" ht="16.2" outlineLevel="1">
      <c r="A797" s="288"/>
      <c r="B797" s="351" t="s">
        <v>821</v>
      </c>
      <c r="C797" s="388" t="str">
        <f>IF(OR(I797&lt;&gt;0,H797&lt;&gt;0),"x"," ")</f>
        <v xml:space="preserve"> </v>
      </c>
      <c r="D797" s="338"/>
      <c r="E797" s="358" t="str">
        <f>VLOOKUP($B797,DG!A:D,DG!$C$2,)</f>
        <v>Sứ chằng</v>
      </c>
      <c r="F797" s="338" t="str">
        <f>VLOOKUP($B797,DG!A:D,DG!$D$2,)</f>
        <v>cái</v>
      </c>
      <c r="G797" s="359">
        <v>4</v>
      </c>
      <c r="H797" s="360">
        <f t="shared" si="55"/>
        <v>0</v>
      </c>
      <c r="I797" s="360"/>
      <c r="J797" s="360"/>
      <c r="K797" s="360"/>
      <c r="L797" s="360"/>
      <c r="M797" s="332"/>
      <c r="N797" s="340"/>
      <c r="O797" s="341"/>
    </row>
    <row r="798" spans="1:15" ht="16.2" outlineLevel="1">
      <c r="A798" s="288"/>
      <c r="B798" s="351" t="s">
        <v>822</v>
      </c>
      <c r="C798" s="388" t="str">
        <f>IF(OR(I798&lt;&gt;0,H798&lt;&gt;0),"x"," ")</f>
        <v xml:space="preserve"> </v>
      </c>
      <c r="D798" s="338"/>
      <c r="E798" s="358" t="str">
        <f>VLOOKUP($B798,DG!A:D,DG!$C$2,)</f>
        <v>Kẹp cáp 3 boulon</v>
      </c>
      <c r="F798" s="338" t="str">
        <f>VLOOKUP($B798,DG!A:D,DG!$D$2,)</f>
        <v>cái</v>
      </c>
      <c r="G798" s="359">
        <v>24</v>
      </c>
      <c r="H798" s="360">
        <f t="shared" si="55"/>
        <v>0</v>
      </c>
      <c r="I798" s="360"/>
      <c r="J798" s="360"/>
      <c r="K798" s="360"/>
      <c r="L798" s="360"/>
      <c r="M798" s="332"/>
      <c r="N798" s="340"/>
      <c r="O798" s="341"/>
    </row>
    <row r="799" spans="1:15" ht="16.2" outlineLevel="1">
      <c r="A799" s="288"/>
      <c r="B799" s="403" t="s">
        <v>1015</v>
      </c>
      <c r="C799" s="388" t="str">
        <f>IF(OR(I799&lt;&gt;0,H799&lt;&gt;0),"x"," ")</f>
        <v xml:space="preserve"> </v>
      </c>
      <c r="D799" s="338"/>
      <c r="E799" s="358" t="str">
        <f>VLOOKUP($B799,DG!A:D,DG!$C$2,)</f>
        <v>Kẹp hotline 4/0</v>
      </c>
      <c r="F799" s="338" t="str">
        <f>VLOOKUP($B799,DG!A:D,DG!$D$2,)</f>
        <v>cái</v>
      </c>
      <c r="G799" s="359">
        <v>12</v>
      </c>
      <c r="H799" s="360">
        <f t="shared" si="55"/>
        <v>0</v>
      </c>
      <c r="I799" s="360"/>
      <c r="J799" s="360"/>
      <c r="K799" s="360"/>
      <c r="L799" s="360"/>
      <c r="M799" s="332"/>
      <c r="N799" s="340"/>
      <c r="O799" s="341"/>
    </row>
    <row r="800" spans="1:15" ht="16.2" outlineLevel="1">
      <c r="A800" s="288"/>
      <c r="B800" s="351" t="s">
        <v>791</v>
      </c>
      <c r="C800" s="388" t="str">
        <f>IF(OR(I800&lt;&gt;0,H800&lt;&gt;0),"x"," ")</f>
        <v xml:space="preserve"> </v>
      </c>
      <c r="D800" s="338"/>
      <c r="E800" s="358" t="str">
        <f>VLOOKUP($B800,DG!A:D,DG!$C$2,)</f>
        <v>Sắt dẹt 60 x 6</v>
      </c>
      <c r="F800" s="338" t="str">
        <f>VLOOKUP($B800,DG!A:D,DG!$D$2,)</f>
        <v>kg</v>
      </c>
      <c r="G800" s="359">
        <v>8</v>
      </c>
      <c r="H800" s="360">
        <f t="shared" si="55"/>
        <v>0</v>
      </c>
      <c r="I800" s="360"/>
      <c r="J800" s="360"/>
      <c r="K800" s="360"/>
      <c r="L800" s="360"/>
      <c r="M800" s="332"/>
      <c r="N800" s="340"/>
      <c r="O800" s="341"/>
    </row>
    <row r="801" spans="1:15" ht="16.2" outlineLevel="1">
      <c r="A801" s="288"/>
      <c r="B801" s="351" t="s">
        <v>869</v>
      </c>
      <c r="C801" s="388" t="str">
        <f>IF(OR(I801&lt;&gt;0,H801&lt;&gt;0),"x"," ")</f>
        <v xml:space="preserve"> </v>
      </c>
      <c r="D801" s="338"/>
      <c r="E801" s="358" t="str">
        <f>VLOOKUP($B801,DG!A:D,DG!$C$2,)</f>
        <v xml:space="preserve">Móc treo chữ U </v>
      </c>
      <c r="F801" s="338" t="str">
        <f>VLOOKUP($B801,DG!A:D,DG!$D$2,)</f>
        <v>cái</v>
      </c>
      <c r="G801" s="359">
        <v>6</v>
      </c>
      <c r="H801" s="360">
        <f t="shared" si="55"/>
        <v>0</v>
      </c>
      <c r="I801" s="360"/>
      <c r="J801" s="360"/>
      <c r="K801" s="360"/>
      <c r="L801" s="360"/>
      <c r="M801" s="332"/>
      <c r="N801" s="340"/>
      <c r="O801" s="341"/>
    </row>
    <row r="802" spans="1:15" ht="16.2" outlineLevel="1">
      <c r="A802" s="288"/>
      <c r="B802" s="404" t="s">
        <v>870</v>
      </c>
      <c r="C802" s="388" t="str">
        <f>IF(OR(I802&lt;&gt;0,H802&lt;&gt;0),"x"," ")</f>
        <v xml:space="preserve"> </v>
      </c>
      <c r="D802" s="338"/>
      <c r="E802" s="358" t="str">
        <f>VLOOKUP($B802,DG!A:D,DG!$C$2,)</f>
        <v>Boulon 16x100VRS+ 4 long đền vuông D18-50x50x3/Zn</v>
      </c>
      <c r="F802" s="338" t="str">
        <f>VLOOKUP($B802,DG!A:D,DG!$D$2,)</f>
        <v>bộ</v>
      </c>
      <c r="G802" s="359">
        <v>4</v>
      </c>
      <c r="H802" s="360">
        <f t="shared" si="55"/>
        <v>0</v>
      </c>
      <c r="I802" s="360"/>
      <c r="J802" s="360"/>
      <c r="K802" s="360"/>
      <c r="L802" s="360"/>
      <c r="M802" s="332"/>
      <c r="N802" s="340"/>
      <c r="O802" s="341"/>
    </row>
    <row r="803" spans="1:15" ht="16.2" outlineLevel="1">
      <c r="A803" s="288"/>
      <c r="B803" s="351" t="s">
        <v>824</v>
      </c>
      <c r="C803" s="388" t="str">
        <f>IF(OR(I803&lt;&gt;0,H803&lt;&gt;0),"x"," ")</f>
        <v xml:space="preserve"> </v>
      </c>
      <c r="D803" s="338"/>
      <c r="E803" s="358" t="str">
        <f>VLOOKUP($B803,DG!A:D,DG!$C$2,)</f>
        <v>Yếm cáp dày 2mm</v>
      </c>
      <c r="F803" s="338" t="str">
        <f>VLOOKUP($B803,DG!A:D,DG!$D$2,)</f>
        <v>cái</v>
      </c>
      <c r="G803" s="359">
        <v>4</v>
      </c>
      <c r="H803" s="360">
        <f t="shared" si="55"/>
        <v>0</v>
      </c>
      <c r="I803" s="360"/>
      <c r="J803" s="360"/>
      <c r="K803" s="360"/>
      <c r="L803" s="360"/>
      <c r="M803" s="332"/>
      <c r="N803" s="340"/>
      <c r="O803" s="341"/>
    </row>
    <row r="804" spans="1:15" ht="16.2" outlineLevel="1">
      <c r="A804" s="288"/>
      <c r="B804" s="351" t="s">
        <v>826</v>
      </c>
      <c r="C804" s="388" t="str">
        <f>IF(OR(I804&lt;&gt;0,H804&lt;&gt;0),"x"," ")</f>
        <v xml:space="preserve"> </v>
      </c>
      <c r="D804" s="338" t="str">
        <f>VLOOKUP($B804,DG!A:D,DG!$B$2,)</f>
        <v>06.3241</v>
      </c>
      <c r="E804" s="366" t="str">
        <f>VLOOKUP($B804,DG!A:D,DG!$C$2,)</f>
        <v>Lắp bộ dây néo</v>
      </c>
      <c r="F804" s="338" t="str">
        <f>VLOOKUP($B804,DG!A:D,DG!$D$2,)</f>
        <v>bộ</v>
      </c>
      <c r="G804" s="359">
        <v>2</v>
      </c>
      <c r="H804" s="354"/>
      <c r="I804" s="354"/>
      <c r="J804" s="354"/>
      <c r="K804" s="354"/>
      <c r="L804" s="354"/>
      <c r="M804" s="332"/>
      <c r="N804" s="340"/>
      <c r="O804" s="341"/>
    </row>
    <row r="805" spans="1:15" ht="16.2" outlineLevel="1">
      <c r="A805" s="288"/>
      <c r="B805" s="351" t="s">
        <v>871</v>
      </c>
      <c r="C805" s="388" t="str">
        <f>IF(OR(I805&lt;&gt;0,H805&lt;&gt;0),"x"," ")</f>
        <v xml:space="preserve"> </v>
      </c>
      <c r="D805" s="338" t="str">
        <f>VLOOKUP($B805,DG!A:D,DG!$B$2,)</f>
        <v>06.2110</v>
      </c>
      <c r="E805" s="366" t="str">
        <f>VLOOKUP($B805,DG!A:D,DG!$C$2,)</f>
        <v>Lắp cổ dề</v>
      </c>
      <c r="F805" s="338" t="str">
        <f>VLOOKUP($B805,DG!A:D,DG!$D$2,)</f>
        <v>cái</v>
      </c>
      <c r="G805" s="359">
        <v>2</v>
      </c>
      <c r="H805" s="354"/>
      <c r="I805" s="354"/>
      <c r="J805" s="354"/>
      <c r="K805" s="354"/>
      <c r="L805" s="354"/>
      <c r="M805" s="332"/>
      <c r="N805" s="340"/>
      <c r="O805" s="341"/>
    </row>
    <row r="806" spans="1:15" ht="16.2" outlineLevel="1">
      <c r="A806" s="288"/>
      <c r="B806" s="356" t="s">
        <v>827</v>
      </c>
      <c r="C806" s="388" t="str">
        <f>IF(OR(I806&lt;&gt;0,H806&lt;&gt;0),"x"," ")</f>
        <v xml:space="preserve"> </v>
      </c>
      <c r="D806" s="338" t="str">
        <f>VLOOKUP($B806,DG!A:C,2,)</f>
        <v>02.1421</v>
      </c>
      <c r="E806" s="366" t="str">
        <f>VLOOKUP($B806,DG!A:C,3,)</f>
        <v>V/c phụ kiện vào vị trí (cự ly &lt;=100m)</v>
      </c>
      <c r="F806" s="338" t="str">
        <f>VLOOKUP($B806,DG!A:D,4,0)</f>
        <v>tấn</v>
      </c>
      <c r="G806" s="357">
        <v>0.02</v>
      </c>
      <c r="H806" s="354"/>
      <c r="I806" s="354"/>
      <c r="J806" s="354"/>
      <c r="K806" s="354"/>
      <c r="L806" s="354"/>
      <c r="M806" s="332"/>
      <c r="N806" s="340"/>
      <c r="O806" s="341"/>
    </row>
    <row r="807" spans="1:15" ht="16.2" outlineLevel="1">
      <c r="A807" s="405" t="s">
        <v>896</v>
      </c>
      <c r="B807" s="373" t="s">
        <v>896</v>
      </c>
      <c r="C807" s="388" t="str">
        <f>IF(OR(I807&lt;&gt;0,H807&lt;&gt;0),"x"," ")</f>
        <v xml:space="preserve"> </v>
      </c>
      <c r="D807" s="345"/>
      <c r="E807" s="346" t="s">
        <v>897</v>
      </c>
      <c r="F807" s="347" t="s">
        <v>285</v>
      </c>
      <c r="G807" s="348"/>
      <c r="H807" s="349">
        <f>IFERROR(HLOOKUP(B807,'BKT-ThuHoi'!$5:$183,179,0),0)</f>
        <v>0</v>
      </c>
      <c r="I807" s="399">
        <f>H807+J807-K807</f>
        <v>0</v>
      </c>
      <c r="J807" s="350"/>
      <c r="K807" s="350"/>
      <c r="L807" s="350"/>
      <c r="M807" s="340"/>
      <c r="N807" s="340"/>
      <c r="O807" s="341"/>
    </row>
    <row r="808" spans="1:15" ht="16.2" outlineLevel="1">
      <c r="B808" s="336" t="s">
        <v>898</v>
      </c>
      <c r="C808" s="388" t="str">
        <f>IF(OR(I808&lt;&gt;0,H808&lt;&gt;0),"x"," ")</f>
        <v xml:space="preserve"> </v>
      </c>
      <c r="D808" s="338"/>
      <c r="E808" s="358" t="str">
        <f>VLOOKUP($B808,DG!A:D,DG!$C$2,)</f>
        <v>Ty neo Ø22x2400</v>
      </c>
      <c r="F808" s="338" t="str">
        <f>VLOOKUP($B808,DG!A:D,DG!$D$2,)</f>
        <v>cái</v>
      </c>
      <c r="G808" s="359">
        <v>1</v>
      </c>
      <c r="H808" s="360">
        <f>H$807*$G808</f>
        <v>0</v>
      </c>
      <c r="I808" s="360">
        <f>I$807*G808</f>
        <v>0</v>
      </c>
      <c r="J808" s="360">
        <f>J$807*H808</f>
        <v>0</v>
      </c>
      <c r="K808" s="360">
        <f>$K$807*G808</f>
        <v>0</v>
      </c>
      <c r="L808" s="360"/>
      <c r="M808" s="340"/>
      <c r="N808" s="340"/>
      <c r="O808" s="341"/>
    </row>
    <row r="809" spans="1:15" ht="16.2" outlineLevel="1">
      <c r="B809" s="336" t="s">
        <v>899</v>
      </c>
      <c r="C809" s="388" t="str">
        <f>IF(OR(I809&lt;&gt;0,H809&lt;&gt;0),"x"," ")</f>
        <v xml:space="preserve"> </v>
      </c>
      <c r="D809" s="338" t="str">
        <f>VLOOKUP($B809,DG!A:D,DG!$B$2,)</f>
        <v>04.4001</v>
      </c>
      <c r="E809" s="358" t="str">
        <f>VLOOKUP($B809,DG!A:D,DG!$C$2,)</f>
        <v>Neo xòe 8 hướng (dày 3,2mm)</v>
      </c>
      <c r="F809" s="338" t="str">
        <f>VLOOKUP($B809,DG!A:D,DG!$D$2,)</f>
        <v>cái</v>
      </c>
      <c r="G809" s="359">
        <v>1</v>
      </c>
      <c r="H809" s="360">
        <f t="shared" ref="H809:H811" si="56">H$807*$G809</f>
        <v>0</v>
      </c>
      <c r="I809" s="360">
        <f>$I$807*G809</f>
        <v>0</v>
      </c>
      <c r="J809" s="360">
        <f>J$807*H809</f>
        <v>0</v>
      </c>
      <c r="K809" s="360">
        <f>$K$807*G809</f>
        <v>0</v>
      </c>
      <c r="L809" s="360"/>
      <c r="M809" s="340"/>
      <c r="N809" s="340"/>
      <c r="O809" s="341"/>
    </row>
    <row r="810" spans="1:15" ht="16.2" outlineLevel="1">
      <c r="B810" s="336" t="s">
        <v>470</v>
      </c>
      <c r="C810" s="388" t="str">
        <f>IF(OR(I810&lt;&gt;0,H810&lt;&gt;0),"x"," ")</f>
        <v xml:space="preserve"> </v>
      </c>
      <c r="D810" s="338" t="str">
        <f>VLOOKUP($B810,DG!A:D,DG!$B$2,)</f>
        <v>03.1013</v>
      </c>
      <c r="E810" s="366" t="str">
        <f>VLOOKUP($B810,DG!A:D,DG!$C$2,)</f>
        <v>Đào hố móng đất cấp 3 sâu &gt;1m DT&lt;5m2</v>
      </c>
      <c r="F810" s="338" t="str">
        <f>VLOOKUP($B810,DG!A:D,DG!$D$2,)</f>
        <v>m3</v>
      </c>
      <c r="G810" s="357">
        <v>0.35</v>
      </c>
      <c r="H810" s="380">
        <f t="shared" si="56"/>
        <v>0</v>
      </c>
      <c r="I810" s="379">
        <f>$I$807*G810</f>
        <v>0</v>
      </c>
      <c r="J810" s="360">
        <f>J$807*H810</f>
        <v>0</v>
      </c>
      <c r="K810" s="379">
        <f>$K$807*G810</f>
        <v>0</v>
      </c>
      <c r="L810" s="360"/>
      <c r="M810" s="340"/>
      <c r="N810" s="340"/>
      <c r="O810" s="341"/>
    </row>
    <row r="811" spans="1:15" ht="16.2" outlineLevel="1">
      <c r="B811" s="336" t="s">
        <v>471</v>
      </c>
      <c r="C811" s="388" t="str">
        <f>IF(OR(I811&lt;&gt;0,H811&lt;&gt;0),"x"," ")</f>
        <v xml:space="preserve"> </v>
      </c>
      <c r="D811" s="338" t="str">
        <f>VLOOKUP($B811,DG!A:D,DG!$B$2,)</f>
        <v>03.4113</v>
      </c>
      <c r="E811" s="366" t="str">
        <f>VLOOKUP($B811,DG!A:D,DG!$C$2,)</f>
        <v>Đắp đất hố móng, độ chặt k=0,95</v>
      </c>
      <c r="F811" s="338" t="str">
        <f>VLOOKUP($B811,DG!A:D,DG!$D$2,)</f>
        <v>m3</v>
      </c>
      <c r="G811" s="357">
        <v>0.35</v>
      </c>
      <c r="H811" s="380">
        <f t="shared" si="56"/>
        <v>0</v>
      </c>
      <c r="I811" s="379">
        <f>$I$807*G811</f>
        <v>0</v>
      </c>
      <c r="J811" s="360">
        <f>J$807*H811</f>
        <v>0</v>
      </c>
      <c r="K811" s="379">
        <f>$K$807*G811</f>
        <v>0</v>
      </c>
      <c r="L811" s="360"/>
      <c r="M811" s="340"/>
      <c r="N811" s="340"/>
      <c r="O811" s="341"/>
    </row>
    <row r="812" spans="1:15" ht="16.2" outlineLevel="1">
      <c r="A812" s="288"/>
      <c r="B812" s="351" t="s">
        <v>900</v>
      </c>
      <c r="C812" s="388" t="str">
        <f>IF(OR(I812&lt;&gt;0,H812&lt;&gt;0),"x"," ")</f>
        <v xml:space="preserve"> </v>
      </c>
      <c r="D812" s="338" t="str">
        <f>VLOOKUP($B812,DG!A:D,DG!$B$2,)</f>
        <v>02.3111</v>
      </c>
      <c r="E812" s="366" t="str">
        <f>VLOOKUP($B812,DG!A:D,DG!$C$2,)</f>
        <v>Bốc dỡ neo xèo</v>
      </c>
      <c r="F812" s="338" t="str">
        <f>VLOOKUP($B812,DG!A:D,DG!$D$2,)</f>
        <v>tấn</v>
      </c>
      <c r="G812" s="353"/>
      <c r="H812" s="360"/>
      <c r="I812" s="360"/>
      <c r="J812" s="360"/>
      <c r="K812" s="360"/>
      <c r="L812" s="360"/>
      <c r="M812" s="332"/>
      <c r="N812" s="340"/>
      <c r="O812" s="341"/>
    </row>
    <row r="813" spans="1:15" ht="16.2" outlineLevel="1">
      <c r="A813" s="288"/>
      <c r="B813" s="351" t="s">
        <v>899</v>
      </c>
      <c r="C813" s="388" t="str">
        <f>IF(OR(I813&lt;&gt;0,H813&lt;&gt;0),"x"," ")</f>
        <v xml:space="preserve"> </v>
      </c>
      <c r="D813" s="338" t="str">
        <f>VLOOKUP($B813,DG!A:C,2,)</f>
        <v>04.4001</v>
      </c>
      <c r="E813" s="358" t="str">
        <f>VLOOKUP($B813,DG!A:C,3,)</f>
        <v>Neo xòe 8 hướng (dày 3,2mm)</v>
      </c>
      <c r="F813" s="338" t="str">
        <f>VLOOKUP($B813,DG!A:D,4,0)</f>
        <v>cái</v>
      </c>
      <c r="G813" s="353"/>
      <c r="H813" s="354"/>
      <c r="I813" s="354"/>
      <c r="J813" s="354"/>
      <c r="K813" s="354"/>
      <c r="L813" s="354"/>
      <c r="M813" s="332"/>
      <c r="N813" s="340"/>
      <c r="O813" s="341"/>
    </row>
    <row r="814" spans="1:15" ht="16.2" outlineLevel="1">
      <c r="A814" s="288"/>
      <c r="B814" s="356" t="s">
        <v>901</v>
      </c>
      <c r="C814" s="388" t="str">
        <f>IF(OR(I814&lt;&gt;0,H814&lt;&gt;0),"x"," ")</f>
        <v xml:space="preserve"> </v>
      </c>
      <c r="D814" s="338" t="str">
        <f>VLOOKUP($B814,DG!A:C,2,)</f>
        <v>02.1482</v>
      </c>
      <c r="E814" s="366" t="str">
        <f>VLOOKUP($B814,DG!A:C,3,)</f>
        <v>V/c dụng cụ thi công vào vị trí (cự ly &lt;=100m)</v>
      </c>
      <c r="F814" s="338" t="str">
        <f>VLOOKUP($B814,DG!A:D,4,0)</f>
        <v>tấn</v>
      </c>
      <c r="G814" s="357"/>
      <c r="H814" s="354"/>
      <c r="I814" s="354"/>
      <c r="J814" s="354"/>
      <c r="K814" s="354"/>
      <c r="L814" s="354"/>
      <c r="M814" s="332"/>
      <c r="N814" s="340"/>
      <c r="O814" s="341"/>
    </row>
    <row r="815" spans="1:15" ht="16.2" outlineLevel="1">
      <c r="A815" s="405" t="s">
        <v>902</v>
      </c>
      <c r="B815" s="343" t="s">
        <v>902</v>
      </c>
      <c r="C815" s="388" t="str">
        <f>IF(OR(I815&lt;&gt;0,H815&lt;&gt;0),"x"," ")</f>
        <v xml:space="preserve"> </v>
      </c>
      <c r="D815" s="345"/>
      <c r="E815" s="346" t="s">
        <v>903</v>
      </c>
      <c r="F815" s="347" t="s">
        <v>285</v>
      </c>
      <c r="G815" s="348"/>
      <c r="H815" s="349">
        <f>IFERROR(HLOOKUP(B815,'BKT-ThuHoi'!$5:$183,179,0),0)</f>
        <v>0</v>
      </c>
      <c r="I815" s="350">
        <f>H815+J815-K815</f>
        <v>0</v>
      </c>
      <c r="J815" s="350"/>
      <c r="K815" s="350"/>
      <c r="L815" s="350"/>
      <c r="M815" s="340"/>
      <c r="N815" s="340"/>
      <c r="O815" s="341"/>
    </row>
    <row r="816" spans="1:15" ht="16.2" outlineLevel="1">
      <c r="B816" s="336" t="s">
        <v>898</v>
      </c>
      <c r="C816" s="388" t="str">
        <f>IF(OR(I816&lt;&gt;0,H816&lt;&gt;0),"x"," ")</f>
        <v xml:space="preserve"> </v>
      </c>
      <c r="D816" s="338"/>
      <c r="E816" s="358" t="str">
        <f>VLOOKUP($B816,DG!A:D,DG!$C$2,)</f>
        <v>Ty neo Ø22x2400</v>
      </c>
      <c r="F816" s="338" t="str">
        <f>VLOOKUP($B816,DG!A:D,DG!$D$2,)</f>
        <v>cái</v>
      </c>
      <c r="G816" s="359">
        <v>1</v>
      </c>
      <c r="H816" s="360">
        <f>H$815*$G816</f>
        <v>0</v>
      </c>
      <c r="I816" s="360">
        <f>$I$815*G816</f>
        <v>0</v>
      </c>
      <c r="J816" s="360">
        <f>$J$815*G816</f>
        <v>0</v>
      </c>
      <c r="K816" s="360"/>
      <c r="L816" s="360"/>
      <c r="M816" s="340"/>
      <c r="N816" s="340"/>
      <c r="O816" s="341"/>
    </row>
    <row r="817" spans="1:15" ht="16.2" outlineLevel="1">
      <c r="B817" s="336" t="s">
        <v>899</v>
      </c>
      <c r="C817" s="388" t="str">
        <f>IF(OR(I817&lt;&gt;0,H817&lt;&gt;0),"x"," ")</f>
        <v xml:space="preserve"> </v>
      </c>
      <c r="D817" s="338" t="str">
        <f>VLOOKUP($B817,DG!A:D,DG!$B$2,)</f>
        <v>04.4001</v>
      </c>
      <c r="E817" s="358" t="str">
        <f>VLOOKUP($B817,DG!A:D,DG!$C$2,)</f>
        <v>Neo xòe 8 hướng (dày 3,2mm)</v>
      </c>
      <c r="F817" s="338" t="str">
        <f>VLOOKUP($B817,DG!A:D,DG!$D$2,)</f>
        <v>cái</v>
      </c>
      <c r="G817" s="359">
        <v>1</v>
      </c>
      <c r="H817" s="360">
        <f>H$815*$G817</f>
        <v>0</v>
      </c>
      <c r="I817" s="360">
        <f>$I$815*G817</f>
        <v>0</v>
      </c>
      <c r="J817" s="360">
        <f>$J$815*G817</f>
        <v>0</v>
      </c>
      <c r="K817" s="360"/>
      <c r="L817" s="360"/>
      <c r="M817" s="340"/>
      <c r="N817" s="340"/>
      <c r="O817" s="341"/>
    </row>
    <row r="818" spans="1:15" ht="16.2" outlineLevel="1">
      <c r="B818" s="336" t="s">
        <v>470</v>
      </c>
      <c r="C818" s="388" t="str">
        <f>IF(OR(I818&lt;&gt;0,H818&lt;&gt;0),"x"," ")</f>
        <v xml:space="preserve"> </v>
      </c>
      <c r="D818" s="338" t="str">
        <f>VLOOKUP($B818,DG!A:D,DG!$B$2,)</f>
        <v>03.1013</v>
      </c>
      <c r="E818" s="366" t="str">
        <f>VLOOKUP($B818,DG!A:D,DG!$C$2,)</f>
        <v>Đào hố móng đất cấp 3 sâu &gt;1m DT&lt;5m2</v>
      </c>
      <c r="F818" s="338" t="str">
        <f>VLOOKUP($B818,DG!A:D,DG!$D$2,)</f>
        <v>m3</v>
      </c>
      <c r="G818" s="357">
        <v>0.28999999999999998</v>
      </c>
      <c r="H818" s="379">
        <f>H$815*$G818</f>
        <v>0</v>
      </c>
      <c r="I818" s="379">
        <f>$I$815*G818</f>
        <v>0</v>
      </c>
      <c r="J818" s="379">
        <f>$J$815*G818</f>
        <v>0</v>
      </c>
      <c r="K818" s="379"/>
      <c r="L818" s="360"/>
      <c r="M818" s="340"/>
      <c r="N818" s="340"/>
      <c r="O818" s="341"/>
    </row>
    <row r="819" spans="1:15" ht="16.2" outlineLevel="1">
      <c r="B819" s="336" t="s">
        <v>471</v>
      </c>
      <c r="C819" s="388" t="str">
        <f>IF(OR(I819&lt;&gt;0,H819&lt;&gt;0),"x"," ")</f>
        <v xml:space="preserve"> </v>
      </c>
      <c r="D819" s="338" t="str">
        <f>VLOOKUP($B819,DG!A:D,DG!$B$2,)</f>
        <v>03.4113</v>
      </c>
      <c r="E819" s="366" t="str">
        <f>VLOOKUP($B819,DG!A:D,DG!$C$2,)</f>
        <v>Đắp đất hố móng, độ chặt k=0,95</v>
      </c>
      <c r="F819" s="338" t="str">
        <f>VLOOKUP($B819,DG!A:D,DG!$D$2,)</f>
        <v>m3</v>
      </c>
      <c r="G819" s="357">
        <v>0.28999999999999998</v>
      </c>
      <c r="H819" s="379">
        <f>H$815*$G819</f>
        <v>0</v>
      </c>
      <c r="I819" s="379">
        <f>$I$815*G819</f>
        <v>0</v>
      </c>
      <c r="J819" s="379">
        <f>$J$815*G819</f>
        <v>0</v>
      </c>
      <c r="K819" s="379"/>
      <c r="L819" s="360"/>
      <c r="M819" s="340"/>
      <c r="N819" s="340"/>
      <c r="O819" s="341"/>
    </row>
    <row r="820" spans="1:15" ht="16.2" outlineLevel="1">
      <c r="A820" s="288"/>
      <c r="B820" s="351" t="s">
        <v>900</v>
      </c>
      <c r="C820" s="388" t="str">
        <f>IF(OR(I820&lt;&gt;0,H820&lt;&gt;0),"x"," ")</f>
        <v xml:space="preserve"> </v>
      </c>
      <c r="D820" s="338" t="str">
        <f>VLOOKUP($B820,DG!A:D,DG!$B$2,)</f>
        <v>02.3111</v>
      </c>
      <c r="E820" s="366" t="str">
        <f>VLOOKUP($B820,DG!A:D,DG!$C$2,)</f>
        <v>Bốc dỡ neo xèo</v>
      </c>
      <c r="F820" s="338" t="str">
        <f>VLOOKUP($B820,DG!A:D,DG!$D$2,)</f>
        <v>tấn</v>
      </c>
      <c r="G820" s="357"/>
      <c r="H820" s="360"/>
      <c r="I820" s="360"/>
      <c r="J820" s="360"/>
      <c r="K820" s="360"/>
      <c r="L820" s="360"/>
      <c r="M820" s="332"/>
      <c r="N820" s="340"/>
      <c r="O820" s="341"/>
    </row>
    <row r="821" spans="1:15" ht="16.2" outlineLevel="1">
      <c r="A821" s="288"/>
      <c r="B821" s="351" t="s">
        <v>899</v>
      </c>
      <c r="C821" s="388" t="str">
        <f>IF(OR(I821&lt;&gt;0,H821&lt;&gt;0),"x"," ")</f>
        <v xml:space="preserve"> </v>
      </c>
      <c r="D821" s="338" t="str">
        <f>VLOOKUP($B821,DG!A:C,2,)</f>
        <v>04.4001</v>
      </c>
      <c r="E821" s="358" t="str">
        <f>VLOOKUP($B821,DG!A:C,3,)</f>
        <v>Neo xòe 8 hướng (dày 3,2mm)</v>
      </c>
      <c r="F821" s="338" t="str">
        <f>VLOOKUP($B821,DG!A:D,4,0)</f>
        <v>cái</v>
      </c>
      <c r="G821" s="357"/>
      <c r="H821" s="354"/>
      <c r="I821" s="354"/>
      <c r="J821" s="354"/>
      <c r="K821" s="354"/>
      <c r="L821" s="354"/>
      <c r="M821" s="332"/>
      <c r="N821" s="340"/>
      <c r="O821" s="341"/>
    </row>
    <row r="822" spans="1:15" ht="16.2" outlineLevel="1">
      <c r="A822" s="288"/>
      <c r="B822" s="356" t="s">
        <v>901</v>
      </c>
      <c r="C822" s="388" t="str">
        <f>IF(OR(I822&lt;&gt;0,H822&lt;&gt;0),"x"," ")</f>
        <v xml:space="preserve"> </v>
      </c>
      <c r="D822" s="338" t="str">
        <f>VLOOKUP($B822,DG!A:C,2,)</f>
        <v>02.1482</v>
      </c>
      <c r="E822" s="366" t="str">
        <f>VLOOKUP($B822,DG!A:C,3,)</f>
        <v>V/c dụng cụ thi công vào vị trí (cự ly &lt;=100m)</v>
      </c>
      <c r="F822" s="338" t="str">
        <f>VLOOKUP($B822,DG!A:D,4,0)</f>
        <v>tấn</v>
      </c>
      <c r="G822" s="357"/>
      <c r="H822" s="354"/>
      <c r="I822" s="354"/>
      <c r="J822" s="354"/>
      <c r="K822" s="354"/>
      <c r="L822" s="354"/>
      <c r="M822" s="332"/>
      <c r="N822" s="340"/>
      <c r="O822" s="341"/>
    </row>
    <row r="823" spans="1:15" ht="16.2" outlineLevel="1">
      <c r="A823" s="406" t="s">
        <v>904</v>
      </c>
      <c r="B823" s="343" t="s">
        <v>904</v>
      </c>
      <c r="C823" s="388" t="str">
        <f>IF(OR(I823&lt;&gt;0,H823&lt;&gt;0),"x"," ")</f>
        <v xml:space="preserve"> </v>
      </c>
      <c r="D823" s="345"/>
      <c r="E823" s="346" t="s">
        <v>905</v>
      </c>
      <c r="F823" s="347" t="s">
        <v>285</v>
      </c>
      <c r="G823" s="348"/>
      <c r="H823" s="349">
        <f>IFERROR(HLOOKUP(B823,'BKT-ThuHoi'!$5:$183,179,0),0)</f>
        <v>0</v>
      </c>
      <c r="I823" s="350">
        <f>H823+J823-K823</f>
        <v>0</v>
      </c>
      <c r="J823" s="350"/>
      <c r="K823" s="350"/>
      <c r="L823" s="350"/>
      <c r="M823" s="332"/>
      <c r="N823" s="340"/>
      <c r="O823" s="341"/>
    </row>
    <row r="824" spans="1:15" ht="16.2" outlineLevel="1">
      <c r="A824" s="288"/>
      <c r="B824" s="351" t="s">
        <v>906</v>
      </c>
      <c r="C824" s="388" t="str">
        <f>IF(OR(I824&lt;&gt;0,H824&lt;&gt;0),"x"," ")</f>
        <v xml:space="preserve"> </v>
      </c>
      <c r="D824" s="338"/>
      <c r="E824" s="358" t="str">
        <f>VLOOKUP($B824,DG!A:D,DG!$C$2,)</f>
        <v>Ty neo Ø22x3000</v>
      </c>
      <c r="F824" s="338" t="str">
        <f>VLOOKUP($B824,DG!A:D,DG!$D$2,)</f>
        <v>cái</v>
      </c>
      <c r="G824" s="359">
        <v>1</v>
      </c>
      <c r="H824" s="360">
        <f>H$823*$G824</f>
        <v>0</v>
      </c>
      <c r="I824" s="360"/>
      <c r="J824" s="360"/>
      <c r="K824" s="360"/>
      <c r="L824" s="360"/>
      <c r="M824" s="332"/>
      <c r="N824" s="340"/>
      <c r="O824" s="341"/>
    </row>
    <row r="825" spans="1:15" ht="16.2" outlineLevel="1">
      <c r="A825" s="288"/>
      <c r="B825" s="351" t="s">
        <v>907</v>
      </c>
      <c r="C825" s="388" t="str">
        <f>IF(OR(I825&lt;&gt;0,H825&lt;&gt;0),"x"," ")</f>
        <v xml:space="preserve"> </v>
      </c>
      <c r="D825" s="338" t="str">
        <f>VLOOKUP($B825,DG!A:D,DG!$B$2,)</f>
        <v>04.3801</v>
      </c>
      <c r="E825" s="358" t="str">
        <f>VLOOKUP($B825,DG!A:D,DG!$C$2,)</f>
        <v>Đế neo BTCT 200x1200</v>
      </c>
      <c r="F825" s="338" t="str">
        <f>VLOOKUP($B825,DG!A:D,DG!$D$2,)</f>
        <v>cái</v>
      </c>
      <c r="G825" s="359">
        <v>1</v>
      </c>
      <c r="H825" s="360">
        <f>H$823*$G825</f>
        <v>0</v>
      </c>
      <c r="I825" s="360"/>
      <c r="J825" s="360"/>
      <c r="K825" s="360"/>
      <c r="L825" s="360"/>
      <c r="M825" s="332"/>
      <c r="N825" s="340"/>
      <c r="O825" s="341"/>
    </row>
    <row r="826" spans="1:15" ht="16.2" outlineLevel="1">
      <c r="A826" s="288"/>
      <c r="B826" s="351" t="s">
        <v>908</v>
      </c>
      <c r="C826" s="388" t="str">
        <f>IF(OR(I826&lt;&gt;0,H826&lt;&gt;0),"x"," ")</f>
        <v xml:space="preserve"> </v>
      </c>
      <c r="D826" s="338" t="str">
        <f>VLOOKUP($B826,DG!A:D,DG!$B$2,)</f>
        <v>04.9001</v>
      </c>
      <c r="E826" s="358" t="str">
        <f>VLOOKUP($B826,DG!A:D,DG!$C$2,)</f>
        <v>Bitum</v>
      </c>
      <c r="F826" s="338" t="str">
        <f>VLOOKUP($B826,DG!A:D,DG!$D$2,)</f>
        <v>m2</v>
      </c>
      <c r="G826" s="385">
        <v>1.34</v>
      </c>
      <c r="H826" s="360">
        <f>H$823*$G826</f>
        <v>0</v>
      </c>
      <c r="I826" s="360"/>
      <c r="J826" s="360"/>
      <c r="K826" s="360"/>
      <c r="L826" s="360"/>
      <c r="M826" s="332"/>
      <c r="N826" s="340"/>
      <c r="O826" s="341"/>
    </row>
    <row r="827" spans="1:15" ht="16.2" outlineLevel="1">
      <c r="A827" s="288"/>
      <c r="B827" s="351" t="s">
        <v>470</v>
      </c>
      <c r="C827" s="388" t="str">
        <f>IF(OR(I827&lt;&gt;0,H827&lt;&gt;0),"x"," ")</f>
        <v xml:space="preserve"> </v>
      </c>
      <c r="D827" s="338" t="str">
        <f>VLOOKUP($B827,DG!A:D,DG!$B$2,)</f>
        <v>03.1013</v>
      </c>
      <c r="E827" s="366" t="str">
        <f>VLOOKUP($B827,DG!A:D,DG!$C$2,)</f>
        <v>Đào hố móng đất cấp 3 sâu &gt;1m DT&lt;5m2</v>
      </c>
      <c r="F827" s="338" t="str">
        <f>VLOOKUP($B827,DG!A:D,DG!$D$2,)</f>
        <v>m3</v>
      </c>
      <c r="G827" s="357">
        <v>2.71</v>
      </c>
      <c r="H827" s="360"/>
      <c r="I827" s="360"/>
      <c r="J827" s="360"/>
      <c r="K827" s="360"/>
      <c r="L827" s="360"/>
      <c r="M827" s="332"/>
      <c r="N827" s="340"/>
      <c r="O827" s="341"/>
    </row>
    <row r="828" spans="1:15" ht="16.2" outlineLevel="1">
      <c r="A828" s="288"/>
      <c r="B828" s="351" t="s">
        <v>471</v>
      </c>
      <c r="C828" s="388" t="str">
        <f>IF(OR(I828&lt;&gt;0,H828&lt;&gt;0),"x"," ")</f>
        <v xml:space="preserve"> </v>
      </c>
      <c r="D828" s="338" t="str">
        <f>VLOOKUP($B828,DG!A:D,DG!$B$2,)</f>
        <v>03.4113</v>
      </c>
      <c r="E828" s="366" t="str">
        <f>VLOOKUP($B828,DG!A:D,DG!$C$2,)</f>
        <v>Đắp đất hố móng, độ chặt k=0,95</v>
      </c>
      <c r="F828" s="338" t="str">
        <f>VLOOKUP($B828,DG!A:D,DG!$D$2,)</f>
        <v>m3</v>
      </c>
      <c r="G828" s="357">
        <v>3.23</v>
      </c>
      <c r="H828" s="360"/>
      <c r="I828" s="360"/>
      <c r="J828" s="360"/>
      <c r="K828" s="360"/>
      <c r="L828" s="360"/>
      <c r="M828" s="332"/>
      <c r="N828" s="340"/>
      <c r="O828" s="341"/>
    </row>
    <row r="829" spans="1:15" ht="16.2" outlineLevel="1">
      <c r="A829" s="288"/>
      <c r="B829" s="351" t="s">
        <v>450</v>
      </c>
      <c r="C829" s="388" t="str">
        <f>IF(OR(I829&lt;&gt;0,H829&lt;&gt;0),"x"," ")</f>
        <v xml:space="preserve"> </v>
      </c>
      <c r="D829" s="338" t="str">
        <f>VLOOKUP($B829,DG!A:D,DG!$B$2,)</f>
        <v>02.1123</v>
      </c>
      <c r="E829" s="366" t="str">
        <f>VLOOKUP($B829,DG!A:D,DG!$C$2,)</f>
        <v>Bốc dỡ đà cản, đế néo</v>
      </c>
      <c r="F829" s="338" t="str">
        <f>VLOOKUP($B829,DG!A:D,DG!$D$2,)</f>
        <v>tấn</v>
      </c>
      <c r="G829" s="357">
        <f>G830</f>
        <v>8.6999999999999994E-2</v>
      </c>
      <c r="H829" s="360"/>
      <c r="I829" s="360"/>
      <c r="J829" s="360"/>
      <c r="K829" s="360"/>
      <c r="L829" s="360"/>
      <c r="M829" s="332"/>
      <c r="N829" s="340"/>
      <c r="O829" s="341"/>
    </row>
    <row r="830" spans="1:15" ht="16.2" outlineLevel="1">
      <c r="A830" s="288"/>
      <c r="B830" s="356" t="s">
        <v>909</v>
      </c>
      <c r="C830" s="388" t="str">
        <f>IF(OR(I830&lt;&gt;0,H830&lt;&gt;0),"x"," ")</f>
        <v xml:space="preserve"> </v>
      </c>
      <c r="D830" s="338" t="str">
        <f>VLOOKUP($B830,DG!A:C,2,)</f>
        <v>02.1451</v>
      </c>
      <c r="E830" s="366" t="str">
        <f>VLOOKUP($B830,DG!A:C,3,)</f>
        <v>V/c đế néo vào vị trí (cự ly &lt;=100m)</v>
      </c>
      <c r="F830" s="338" t="str">
        <f>VLOOKUP($B830,DG!A:D,4,0)</f>
        <v>tấn</v>
      </c>
      <c r="G830" s="357">
        <v>8.6999999999999994E-2</v>
      </c>
      <c r="H830" s="354"/>
      <c r="I830" s="354"/>
      <c r="J830" s="354"/>
      <c r="K830" s="354"/>
      <c r="L830" s="354"/>
      <c r="M830" s="332"/>
      <c r="N830" s="340"/>
      <c r="O830" s="341"/>
    </row>
    <row r="831" spans="1:15" ht="16.2" outlineLevel="1">
      <c r="A831" s="288"/>
      <c r="B831" s="356" t="s">
        <v>901</v>
      </c>
      <c r="C831" s="388" t="str">
        <f>IF(OR(I831&lt;&gt;0,H831&lt;&gt;0),"x"," ")</f>
        <v xml:space="preserve"> </v>
      </c>
      <c r="D831" s="338" t="str">
        <f>VLOOKUP($B831,DG!A:C,2,)</f>
        <v>02.1482</v>
      </c>
      <c r="E831" s="366" t="str">
        <f>VLOOKUP($B831,DG!A:C,3,)</f>
        <v>V/c dụng cụ thi công vào vị trí (cự ly &lt;=100m)</v>
      </c>
      <c r="F831" s="338" t="str">
        <f>VLOOKUP($B831,DG!A:D,4,0)</f>
        <v>tấn</v>
      </c>
      <c r="G831" s="357">
        <v>0.05</v>
      </c>
      <c r="H831" s="354"/>
      <c r="I831" s="354"/>
      <c r="J831" s="354"/>
      <c r="K831" s="354"/>
      <c r="L831" s="354"/>
      <c r="M831" s="332"/>
      <c r="N831" s="340"/>
      <c r="O831" s="341"/>
    </row>
    <row r="832" spans="1:15" ht="16.2" outlineLevel="1">
      <c r="A832" s="342" t="s">
        <v>910</v>
      </c>
      <c r="B832" s="343" t="s">
        <v>910</v>
      </c>
      <c r="C832" s="388" t="str">
        <f>IF(OR(I832&lt;&gt;0,H832&lt;&gt;0),"x"," ")</f>
        <v xml:space="preserve"> </v>
      </c>
      <c r="D832" s="345"/>
      <c r="E832" s="346" t="s">
        <v>911</v>
      </c>
      <c r="F832" s="347" t="s">
        <v>285</v>
      </c>
      <c r="G832" s="348"/>
      <c r="H832" s="349">
        <f>IFERROR(HLOOKUP(B832,'BKT-ThuHoi'!$5:$183,179,0),0)</f>
        <v>0</v>
      </c>
      <c r="I832" s="350">
        <f>H832+J832-K832</f>
        <v>0</v>
      </c>
      <c r="J832" s="350"/>
      <c r="K832" s="350"/>
      <c r="L832" s="350"/>
      <c r="M832" s="332"/>
      <c r="N832" s="340"/>
      <c r="O832" s="341"/>
    </row>
    <row r="833" spans="1:15" ht="16.2" outlineLevel="1">
      <c r="A833" s="288"/>
      <c r="B833" s="351" t="s">
        <v>912</v>
      </c>
      <c r="C833" s="388" t="str">
        <f>IF(OR(I833&lt;&gt;0,H833&lt;&gt;0),"x"," ")</f>
        <v xml:space="preserve"> </v>
      </c>
      <c r="D833" s="338"/>
      <c r="E833" s="358" t="str">
        <f>VLOOKUP($B833,DG!A:D,DG!$C$2,)</f>
        <v>Ty neo Ø16x1800</v>
      </c>
      <c r="F833" s="338" t="str">
        <f>VLOOKUP($B833,DG!A:D,DG!$D$2,)</f>
        <v>cái</v>
      </c>
      <c r="G833" s="359">
        <v>1</v>
      </c>
      <c r="H833" s="360">
        <f>H$832*$G833</f>
        <v>0</v>
      </c>
      <c r="I833" s="360"/>
      <c r="J833" s="360"/>
      <c r="K833" s="360"/>
      <c r="L833" s="360"/>
      <c r="M833" s="332"/>
      <c r="N833" s="340"/>
      <c r="O833" s="341"/>
    </row>
    <row r="834" spans="1:15" ht="16.2" outlineLevel="1">
      <c r="A834" s="288"/>
      <c r="B834" s="351" t="s">
        <v>907</v>
      </c>
      <c r="C834" s="388" t="str">
        <f>IF(OR(I834&lt;&gt;0,H834&lt;&gt;0),"x"," ")</f>
        <v xml:space="preserve"> </v>
      </c>
      <c r="D834" s="338" t="str">
        <f>VLOOKUP($B834,DG!A:D,DG!$B$2,)</f>
        <v>04.3801</v>
      </c>
      <c r="E834" s="358" t="str">
        <f>VLOOKUP($B834,DG!A:D,DG!$C$2,)</f>
        <v>Đế neo BTCT 200x1200</v>
      </c>
      <c r="F834" s="338" t="str">
        <f>VLOOKUP($B834,DG!A:D,DG!$D$2,)</f>
        <v>cái</v>
      </c>
      <c r="G834" s="359">
        <v>1</v>
      </c>
      <c r="H834" s="360">
        <f>H$832*$G834</f>
        <v>0</v>
      </c>
      <c r="I834" s="360"/>
      <c r="J834" s="360"/>
      <c r="K834" s="360"/>
      <c r="L834" s="360"/>
      <c r="M834" s="332"/>
      <c r="N834" s="340"/>
      <c r="O834" s="341"/>
    </row>
    <row r="835" spans="1:15" ht="16.2" outlineLevel="1">
      <c r="A835" s="288"/>
      <c r="B835" s="351" t="s">
        <v>908</v>
      </c>
      <c r="C835" s="388" t="str">
        <f>IF(OR(I835&lt;&gt;0,H835&lt;&gt;0),"x"," ")</f>
        <v xml:space="preserve"> </v>
      </c>
      <c r="D835" s="338" t="str">
        <f>VLOOKUP($B835,DG!A:D,DG!$B$2,)</f>
        <v>04.9001</v>
      </c>
      <c r="E835" s="358" t="str">
        <f>VLOOKUP($B835,DG!A:D,DG!$C$2,)</f>
        <v>Bitum</v>
      </c>
      <c r="F835" s="338" t="str">
        <f>VLOOKUP($B835,DG!A:D,DG!$D$2,)</f>
        <v>m2</v>
      </c>
      <c r="G835" s="385">
        <v>1.34</v>
      </c>
      <c r="H835" s="360">
        <f>H$832*$G835</f>
        <v>0</v>
      </c>
      <c r="I835" s="360"/>
      <c r="J835" s="360"/>
      <c r="K835" s="360"/>
      <c r="L835" s="360"/>
      <c r="M835" s="332"/>
      <c r="N835" s="340"/>
      <c r="O835" s="341"/>
    </row>
    <row r="836" spans="1:15" ht="16.2" outlineLevel="1">
      <c r="A836" s="288"/>
      <c r="B836" s="351" t="s">
        <v>470</v>
      </c>
      <c r="C836" s="388" t="str">
        <f>IF(OR(I836&lt;&gt;0,H836&lt;&gt;0),"x"," ")</f>
        <v xml:space="preserve"> </v>
      </c>
      <c r="D836" s="338" t="str">
        <f>VLOOKUP($B836,DG!A:D,DG!$B$2,)</f>
        <v>03.1013</v>
      </c>
      <c r="E836" s="366" t="str">
        <f>VLOOKUP($B836,DG!A:D,DG!$C$2,)</f>
        <v>Đào hố móng đất cấp 3 sâu &gt;1m DT&lt;5m2</v>
      </c>
      <c r="F836" s="338" t="str">
        <f>VLOOKUP($B836,DG!A:D,DG!$D$2,)</f>
        <v>m3</v>
      </c>
      <c r="G836" s="357">
        <v>2.69</v>
      </c>
      <c r="H836" s="360"/>
      <c r="I836" s="360"/>
      <c r="J836" s="360"/>
      <c r="K836" s="360"/>
      <c r="L836" s="360"/>
      <c r="M836" s="332"/>
      <c r="N836" s="340"/>
      <c r="O836" s="341"/>
    </row>
    <row r="837" spans="1:15" ht="16.2" outlineLevel="1">
      <c r="A837" s="288"/>
      <c r="B837" s="351" t="s">
        <v>471</v>
      </c>
      <c r="C837" s="388" t="str">
        <f>IF(OR(I837&lt;&gt;0,H837&lt;&gt;0),"x"," ")</f>
        <v xml:space="preserve"> </v>
      </c>
      <c r="D837" s="338" t="str">
        <f>VLOOKUP($B837,DG!A:D,DG!$B$2,)</f>
        <v>03.4113</v>
      </c>
      <c r="E837" s="366" t="str">
        <f>VLOOKUP($B837,DG!A:D,DG!$C$2,)</f>
        <v>Đắp đất hố móng, độ chặt k=0,95</v>
      </c>
      <c r="F837" s="338" t="str">
        <f>VLOOKUP($B837,DG!A:D,DG!$D$2,)</f>
        <v>m3</v>
      </c>
      <c r="G837" s="357">
        <v>3.19</v>
      </c>
      <c r="H837" s="360"/>
      <c r="I837" s="360"/>
      <c r="J837" s="360"/>
      <c r="K837" s="360"/>
      <c r="L837" s="360"/>
      <c r="M837" s="332"/>
      <c r="N837" s="340"/>
      <c r="O837" s="341"/>
    </row>
    <row r="838" spans="1:15" ht="16.2" outlineLevel="1">
      <c r="A838" s="288"/>
      <c r="B838" s="351" t="s">
        <v>450</v>
      </c>
      <c r="C838" s="388" t="str">
        <f>IF(OR(I838&lt;&gt;0,H838&lt;&gt;0),"x"," ")</f>
        <v xml:space="preserve"> </v>
      </c>
      <c r="D838" s="338" t="str">
        <f>VLOOKUP($B838,DG!A:D,DG!$B$2,)</f>
        <v>02.1123</v>
      </c>
      <c r="E838" s="366" t="str">
        <f>VLOOKUP($B838,DG!A:D,DG!$C$2,)</f>
        <v>Bốc dỡ đà cản, đế néo</v>
      </c>
      <c r="F838" s="338" t="str">
        <f>VLOOKUP($B838,DG!A:D,DG!$D$2,)</f>
        <v>tấn</v>
      </c>
      <c r="G838" s="357">
        <f>G839</f>
        <v>8.6999999999999994E-2</v>
      </c>
      <c r="H838" s="360"/>
      <c r="I838" s="360"/>
      <c r="J838" s="360"/>
      <c r="K838" s="360"/>
      <c r="L838" s="360"/>
      <c r="M838" s="332"/>
      <c r="N838" s="340"/>
      <c r="O838" s="341"/>
    </row>
    <row r="839" spans="1:15" ht="16.2" outlineLevel="1">
      <c r="A839" s="288"/>
      <c r="B839" s="356" t="s">
        <v>909</v>
      </c>
      <c r="C839" s="388" t="str">
        <f>IF(OR(I839&lt;&gt;0,H839&lt;&gt;0),"x"," ")</f>
        <v xml:space="preserve"> </v>
      </c>
      <c r="D839" s="338" t="str">
        <f>VLOOKUP($B839,DG!A:C,2,)</f>
        <v>02.1451</v>
      </c>
      <c r="E839" s="366" t="str">
        <f>VLOOKUP($B839,DG!A:C,3,)</f>
        <v>V/c đế néo vào vị trí (cự ly &lt;=100m)</v>
      </c>
      <c r="F839" s="338" t="str">
        <f>VLOOKUP($B839,DG!A:D,4,0)</f>
        <v>tấn</v>
      </c>
      <c r="G839" s="357">
        <v>8.6999999999999994E-2</v>
      </c>
      <c r="H839" s="354"/>
      <c r="I839" s="354"/>
      <c r="J839" s="354"/>
      <c r="K839" s="354"/>
      <c r="L839" s="354"/>
      <c r="M839" s="332"/>
      <c r="N839" s="340"/>
      <c r="O839" s="341"/>
    </row>
    <row r="840" spans="1:15" ht="16.2" outlineLevel="1">
      <c r="A840" s="288"/>
      <c r="B840" s="356" t="s">
        <v>901</v>
      </c>
      <c r="C840" s="388" t="str">
        <f>IF(OR(I840&lt;&gt;0,H840&lt;&gt;0),"x"," ")</f>
        <v xml:space="preserve"> </v>
      </c>
      <c r="D840" s="338" t="str">
        <f>VLOOKUP($B840,DG!A:C,2,)</f>
        <v>02.1482</v>
      </c>
      <c r="E840" s="366" t="str">
        <f>VLOOKUP($B840,DG!A:C,3,)</f>
        <v>V/c dụng cụ thi công vào vị trí (cự ly &lt;=100m)</v>
      </c>
      <c r="F840" s="338" t="str">
        <f>VLOOKUP($B840,DG!A:D,4,0)</f>
        <v>tấn</v>
      </c>
      <c r="G840" s="357">
        <v>0.05</v>
      </c>
      <c r="H840" s="354"/>
      <c r="I840" s="354"/>
      <c r="J840" s="354"/>
      <c r="K840" s="354"/>
      <c r="L840" s="354"/>
      <c r="M840" s="332"/>
      <c r="N840" s="340"/>
      <c r="O840" s="341"/>
    </row>
    <row r="841" spans="1:15" ht="16.2" outlineLevel="1">
      <c r="A841" s="407" t="s">
        <v>913</v>
      </c>
      <c r="B841" s="343" t="s">
        <v>913</v>
      </c>
      <c r="C841" s="388" t="str">
        <f>IF(OR(I841&lt;&gt;0,H841&lt;&gt;0),"x"," ")</f>
        <v xml:space="preserve"> </v>
      </c>
      <c r="D841" s="345"/>
      <c r="E841" s="346" t="s">
        <v>914</v>
      </c>
      <c r="F841" s="347" t="s">
        <v>285</v>
      </c>
      <c r="G841" s="348"/>
      <c r="H841" s="349">
        <f>IFERROR(HLOOKUP(B841,'BKT-ThuHoi'!$5:$183,179,0),0)</f>
        <v>0</v>
      </c>
      <c r="I841" s="350">
        <f>H841+J841-K841</f>
        <v>0</v>
      </c>
      <c r="J841" s="350"/>
      <c r="K841" s="350"/>
      <c r="L841" s="350"/>
      <c r="M841" s="332"/>
      <c r="N841" s="340"/>
      <c r="O841" s="341"/>
    </row>
    <row r="842" spans="1:15" ht="16.2" outlineLevel="1">
      <c r="A842" s="288"/>
      <c r="B842" s="351" t="s">
        <v>915</v>
      </c>
      <c r="C842" s="388" t="str">
        <f>IF(OR(I842&lt;&gt;0,H842&lt;&gt;0),"x"," ")</f>
        <v xml:space="preserve"> </v>
      </c>
      <c r="D842" s="338"/>
      <c r="E842" s="358" t="str">
        <f>VLOOKUP($B842,DG!A:D,DG!$C$2,)</f>
        <v>Ty neo Ø22x3700</v>
      </c>
      <c r="F842" s="338" t="str">
        <f>VLOOKUP($B842,DG!A:D,DG!$D$2,)</f>
        <v>cái</v>
      </c>
      <c r="G842" s="359">
        <v>1</v>
      </c>
      <c r="H842" s="360">
        <f>H$841*$G842</f>
        <v>0</v>
      </c>
      <c r="I842" s="360"/>
      <c r="J842" s="360"/>
      <c r="K842" s="360"/>
      <c r="L842" s="360"/>
      <c r="M842" s="332"/>
      <c r="N842" s="340"/>
      <c r="O842" s="341"/>
    </row>
    <row r="843" spans="1:15" ht="16.2" outlineLevel="1">
      <c r="A843" s="288"/>
      <c r="B843" s="351" t="s">
        <v>916</v>
      </c>
      <c r="C843" s="388" t="str">
        <f>IF(OR(I843&lt;&gt;0,H843&lt;&gt;0),"x"," ")</f>
        <v xml:space="preserve"> </v>
      </c>
      <c r="D843" s="338" t="str">
        <f>VLOOKUP($B843,DG!A:D,DG!$B$2,)</f>
        <v>04.3801</v>
      </c>
      <c r="E843" s="358" t="str">
        <f>VLOOKUP($B843,DG!A:D,DG!$C$2,)</f>
        <v>Đế neo BTCT 400x1200</v>
      </c>
      <c r="F843" s="338" t="str">
        <f>VLOOKUP($B843,DG!A:D,DG!$D$2,)</f>
        <v>cái</v>
      </c>
      <c r="G843" s="359">
        <v>1</v>
      </c>
      <c r="H843" s="360">
        <f>H$841*$G843</f>
        <v>0</v>
      </c>
      <c r="I843" s="360"/>
      <c r="J843" s="360"/>
      <c r="K843" s="360"/>
      <c r="L843" s="360"/>
      <c r="M843" s="332"/>
      <c r="N843" s="340"/>
      <c r="O843" s="341"/>
    </row>
    <row r="844" spans="1:15" ht="16.2" outlineLevel="1">
      <c r="A844" s="288"/>
      <c r="B844" s="351" t="s">
        <v>908</v>
      </c>
      <c r="C844" s="388" t="str">
        <f>IF(OR(I844&lt;&gt;0,H844&lt;&gt;0),"x"," ")</f>
        <v xml:space="preserve"> </v>
      </c>
      <c r="D844" s="338" t="str">
        <f>VLOOKUP($B844,DG!A:D,DG!$B$2,)</f>
        <v>04.9001</v>
      </c>
      <c r="E844" s="358" t="str">
        <f>VLOOKUP($B844,DG!A:D,DG!$C$2,)</f>
        <v>Bitum</v>
      </c>
      <c r="F844" s="338" t="str">
        <f>VLOOKUP($B844,DG!A:D,DG!$D$2,)</f>
        <v>m2</v>
      </c>
      <c r="G844" s="385">
        <v>1.58</v>
      </c>
      <c r="H844" s="360">
        <f>H$841*$G844</f>
        <v>0</v>
      </c>
      <c r="I844" s="360"/>
      <c r="J844" s="360"/>
      <c r="K844" s="360"/>
      <c r="L844" s="360"/>
      <c r="M844" s="332"/>
      <c r="N844" s="340"/>
      <c r="O844" s="341"/>
    </row>
    <row r="845" spans="1:15" ht="16.2" outlineLevel="1">
      <c r="A845" s="288"/>
      <c r="B845" s="351" t="s">
        <v>470</v>
      </c>
      <c r="C845" s="388" t="str">
        <f>IF(OR(I845&lt;&gt;0,H845&lt;&gt;0),"x"," ")</f>
        <v xml:space="preserve"> </v>
      </c>
      <c r="D845" s="338" t="str">
        <f>VLOOKUP($B845,DG!A:D,DG!$B$2,)</f>
        <v>03.1013</v>
      </c>
      <c r="E845" s="366" t="str">
        <f>VLOOKUP($B845,DG!A:D,DG!$C$2,)</f>
        <v>Đào hố móng đất cấp 3 sâu &gt;1m DT&lt;5m2</v>
      </c>
      <c r="F845" s="338" t="str">
        <f>VLOOKUP($B845,DG!A:D,DG!$D$2,)</f>
        <v>m3</v>
      </c>
      <c r="G845" s="357">
        <v>9.39</v>
      </c>
      <c r="H845" s="360"/>
      <c r="I845" s="360"/>
      <c r="J845" s="360"/>
      <c r="K845" s="360"/>
      <c r="L845" s="360"/>
      <c r="M845" s="332"/>
      <c r="N845" s="340"/>
      <c r="O845" s="341"/>
    </row>
    <row r="846" spans="1:15" ht="16.2" outlineLevel="1">
      <c r="A846" s="288"/>
      <c r="B846" s="351" t="s">
        <v>471</v>
      </c>
      <c r="C846" s="388" t="str">
        <f>IF(OR(I846&lt;&gt;0,H846&lt;&gt;0),"x"," ")</f>
        <v xml:space="preserve"> </v>
      </c>
      <c r="D846" s="338" t="str">
        <f>VLOOKUP($B846,DG!A:D,DG!$B$2,)</f>
        <v>03.4113</v>
      </c>
      <c r="E846" s="366" t="str">
        <f>VLOOKUP($B846,DG!A:D,DG!$C$2,)</f>
        <v>Đắp đất hố móng, độ chặt k=0,95</v>
      </c>
      <c r="F846" s="338" t="str">
        <f>VLOOKUP($B846,DG!A:D,DG!$D$2,)</f>
        <v>m3</v>
      </c>
      <c r="G846" s="357">
        <v>10.7</v>
      </c>
      <c r="H846" s="360"/>
      <c r="I846" s="360"/>
      <c r="J846" s="360"/>
      <c r="K846" s="360"/>
      <c r="L846" s="360"/>
      <c r="M846" s="332"/>
      <c r="N846" s="340"/>
      <c r="O846" s="341"/>
    </row>
    <row r="847" spans="1:15" ht="16.2" outlineLevel="1">
      <c r="A847" s="288"/>
      <c r="B847" s="351" t="s">
        <v>450</v>
      </c>
      <c r="C847" s="388" t="str">
        <f>IF(OR(I847&lt;&gt;0,H847&lt;&gt;0),"x"," ")</f>
        <v xml:space="preserve"> </v>
      </c>
      <c r="D847" s="338" t="str">
        <f>VLOOKUP($B847,DG!A:D,DG!$B$2,)</f>
        <v>02.1123</v>
      </c>
      <c r="E847" s="366" t="str">
        <f>VLOOKUP($B847,DG!A:D,DG!$C$2,)</f>
        <v>Bốc dỡ đà cản, đế néo</v>
      </c>
      <c r="F847" s="338" t="str">
        <f>VLOOKUP($B847,DG!A:D,DG!$D$2,)</f>
        <v>tấn</v>
      </c>
      <c r="G847" s="357">
        <f>G848</f>
        <v>0.17399999999999999</v>
      </c>
      <c r="H847" s="360"/>
      <c r="I847" s="360"/>
      <c r="J847" s="360"/>
      <c r="K847" s="360"/>
      <c r="L847" s="360"/>
      <c r="M847" s="332"/>
      <c r="N847" s="340"/>
      <c r="O847" s="341"/>
    </row>
    <row r="848" spans="1:15" ht="16.2" outlineLevel="1">
      <c r="A848" s="288"/>
      <c r="B848" s="356" t="s">
        <v>909</v>
      </c>
      <c r="C848" s="388" t="str">
        <f>IF(OR(I848&lt;&gt;0,H848&lt;&gt;0),"x"," ")</f>
        <v xml:space="preserve"> </v>
      </c>
      <c r="D848" s="338" t="str">
        <f>VLOOKUP($B848,DG!A:C,2,)</f>
        <v>02.1451</v>
      </c>
      <c r="E848" s="366" t="str">
        <f>VLOOKUP($B848,DG!A:C,3,)</f>
        <v>V/c đế néo vào vị trí (cự ly &lt;=100m)</v>
      </c>
      <c r="F848" s="338" t="str">
        <f>VLOOKUP($B848,DG!A:D,4,0)</f>
        <v>tấn</v>
      </c>
      <c r="G848" s="357">
        <v>0.17399999999999999</v>
      </c>
      <c r="H848" s="354"/>
      <c r="I848" s="354"/>
      <c r="J848" s="354"/>
      <c r="K848" s="354"/>
      <c r="L848" s="354"/>
      <c r="M848" s="332"/>
      <c r="N848" s="340"/>
      <c r="O848" s="341"/>
    </row>
    <row r="849" spans="1:15" ht="16.2" outlineLevel="1">
      <c r="A849" s="288"/>
      <c r="B849" s="356" t="s">
        <v>901</v>
      </c>
      <c r="C849" s="388" t="str">
        <f>IF(OR(I849&lt;&gt;0,H849&lt;&gt;0),"x"," ")</f>
        <v xml:space="preserve"> </v>
      </c>
      <c r="D849" s="338" t="str">
        <f>VLOOKUP($B849,DG!A:C,2,)</f>
        <v>02.1482</v>
      </c>
      <c r="E849" s="366" t="str">
        <f>VLOOKUP($B849,DG!A:C,3,)</f>
        <v>V/c dụng cụ thi công vào vị trí (cự ly &lt;=100m)</v>
      </c>
      <c r="F849" s="338" t="str">
        <f>VLOOKUP($B849,DG!A:D,4,0)</f>
        <v>tấn</v>
      </c>
      <c r="G849" s="357">
        <v>0.05</v>
      </c>
      <c r="H849" s="354"/>
      <c r="I849" s="354"/>
      <c r="J849" s="354"/>
      <c r="K849" s="354"/>
      <c r="L849" s="354"/>
      <c r="M849" s="332"/>
      <c r="N849" s="340"/>
      <c r="O849" s="341"/>
    </row>
    <row r="850" spans="1:15" ht="16.2" outlineLevel="1">
      <c r="A850" s="407" t="s">
        <v>917</v>
      </c>
      <c r="B850" s="343" t="s">
        <v>917</v>
      </c>
      <c r="C850" s="388" t="str">
        <f>IF(OR(I850&lt;&gt;0,H850&lt;&gt;0),"x"," ")</f>
        <v xml:space="preserve"> </v>
      </c>
      <c r="D850" s="345"/>
      <c r="E850" s="346" t="s">
        <v>918</v>
      </c>
      <c r="F850" s="347" t="s">
        <v>285</v>
      </c>
      <c r="G850" s="348"/>
      <c r="H850" s="349">
        <f>IFERROR(HLOOKUP(B850,'BKT-ThuHoi'!$5:$183,179,0),0)</f>
        <v>0</v>
      </c>
      <c r="I850" s="350">
        <f>H850+J850-K850</f>
        <v>0</v>
      </c>
      <c r="J850" s="350"/>
      <c r="K850" s="350"/>
      <c r="L850" s="350"/>
      <c r="M850" s="332"/>
      <c r="N850" s="340"/>
      <c r="O850" s="341"/>
    </row>
    <row r="851" spans="1:15" ht="16.2" outlineLevel="1">
      <c r="A851" s="288"/>
      <c r="B851" s="351" t="s">
        <v>906</v>
      </c>
      <c r="C851" s="388" t="str">
        <f>IF(OR(I851&lt;&gt;0,H851&lt;&gt;0),"x"," ")</f>
        <v xml:space="preserve"> </v>
      </c>
      <c r="D851" s="338"/>
      <c r="E851" s="358" t="str">
        <f>VLOOKUP($B851,DG!A:D,DG!$C$2,)</f>
        <v>Ty neo Ø22x3000</v>
      </c>
      <c r="F851" s="338" t="str">
        <f>VLOOKUP($B851,DG!A:D,DG!$D$2,)</f>
        <v>cái</v>
      </c>
      <c r="G851" s="359">
        <v>1</v>
      </c>
      <c r="H851" s="360">
        <f>H$850*$G851</f>
        <v>0</v>
      </c>
      <c r="I851" s="360"/>
      <c r="J851" s="360"/>
      <c r="K851" s="360"/>
      <c r="L851" s="360"/>
      <c r="M851" s="332"/>
      <c r="N851" s="340"/>
      <c r="O851" s="341"/>
    </row>
    <row r="852" spans="1:15" ht="16.2" outlineLevel="1">
      <c r="A852" s="288"/>
      <c r="B852" s="351" t="s">
        <v>916</v>
      </c>
      <c r="C852" s="388" t="str">
        <f>IF(OR(I852&lt;&gt;0,H852&lt;&gt;0),"x"," ")</f>
        <v xml:space="preserve"> </v>
      </c>
      <c r="D852" s="338" t="str">
        <f>VLOOKUP($B852,DG!A:D,DG!$B$2,)</f>
        <v>04.3801</v>
      </c>
      <c r="E852" s="358" t="str">
        <f>VLOOKUP($B852,DG!A:D,DG!$C$2,)</f>
        <v>Đế neo BTCT 400x1200</v>
      </c>
      <c r="F852" s="338" t="str">
        <f>VLOOKUP($B852,DG!A:D,DG!$D$2,)</f>
        <v>cái</v>
      </c>
      <c r="G852" s="359">
        <v>1</v>
      </c>
      <c r="H852" s="360">
        <f>H$850*$G852</f>
        <v>0</v>
      </c>
      <c r="I852" s="360"/>
      <c r="J852" s="360"/>
      <c r="K852" s="360"/>
      <c r="L852" s="360"/>
      <c r="M852" s="332"/>
      <c r="N852" s="340"/>
      <c r="O852" s="341"/>
    </row>
    <row r="853" spans="1:15" ht="16.2" outlineLevel="1">
      <c r="A853" s="288"/>
      <c r="B853" s="351" t="s">
        <v>908</v>
      </c>
      <c r="C853" s="388" t="str">
        <f>IF(OR(I853&lt;&gt;0,H853&lt;&gt;0),"x"," ")</f>
        <v xml:space="preserve"> </v>
      </c>
      <c r="D853" s="338" t="str">
        <f>VLOOKUP($B853,DG!A:D,DG!$B$2,)</f>
        <v>04.9001</v>
      </c>
      <c r="E853" s="358" t="str">
        <f>VLOOKUP($B853,DG!A:D,DG!$C$2,)</f>
        <v>Bitum</v>
      </c>
      <c r="F853" s="338" t="str">
        <f>VLOOKUP($B853,DG!A:D,DG!$D$2,)</f>
        <v>m2</v>
      </c>
      <c r="G853" s="385">
        <v>1.58</v>
      </c>
      <c r="H853" s="360">
        <f>H$850*$G853</f>
        <v>0</v>
      </c>
      <c r="I853" s="360"/>
      <c r="J853" s="360"/>
      <c r="K853" s="360"/>
      <c r="L853" s="360"/>
      <c r="M853" s="332"/>
      <c r="N853" s="340"/>
      <c r="O853" s="341"/>
    </row>
    <row r="854" spans="1:15" ht="16.2" outlineLevel="1">
      <c r="A854" s="288"/>
      <c r="B854" s="351" t="s">
        <v>470</v>
      </c>
      <c r="C854" s="388" t="str">
        <f>IF(OR(I854&lt;&gt;0,H854&lt;&gt;0),"x"," ")</f>
        <v xml:space="preserve"> </v>
      </c>
      <c r="D854" s="338" t="str">
        <f>VLOOKUP($B854,DG!A:D,DG!$B$2,)</f>
        <v>03.1013</v>
      </c>
      <c r="E854" s="366" t="str">
        <f>VLOOKUP($B854,DG!A:D,DG!$C$2,)</f>
        <v>Đào hố móng đất cấp 3 sâu &gt;1m DT&lt;5m2</v>
      </c>
      <c r="F854" s="338" t="str">
        <f>VLOOKUP($B854,DG!A:D,DG!$D$2,)</f>
        <v>m3</v>
      </c>
      <c r="G854" s="357">
        <v>8.23</v>
      </c>
      <c r="H854" s="360"/>
      <c r="I854" s="360"/>
      <c r="J854" s="360"/>
      <c r="K854" s="360"/>
      <c r="L854" s="360"/>
      <c r="M854" s="332"/>
      <c r="N854" s="340"/>
      <c r="O854" s="341"/>
    </row>
    <row r="855" spans="1:15" ht="16.2" outlineLevel="1">
      <c r="A855" s="288"/>
      <c r="B855" s="351" t="s">
        <v>471</v>
      </c>
      <c r="C855" s="388" t="str">
        <f>IF(OR(I855&lt;&gt;0,H855&lt;&gt;0),"x"," ")</f>
        <v xml:space="preserve"> </v>
      </c>
      <c r="D855" s="338" t="str">
        <f>VLOOKUP($B855,DG!A:D,DG!$B$2,)</f>
        <v>03.4113</v>
      </c>
      <c r="E855" s="366" t="str">
        <f>VLOOKUP($B855,DG!A:D,DG!$C$2,)</f>
        <v>Đắp đất hố móng, độ chặt k=0,95</v>
      </c>
      <c r="F855" s="338" t="str">
        <f>VLOOKUP($B855,DG!A:D,DG!$D$2,)</f>
        <v>m3</v>
      </c>
      <c r="G855" s="357">
        <v>9.2899999999999991</v>
      </c>
      <c r="H855" s="360"/>
      <c r="I855" s="360"/>
      <c r="J855" s="360"/>
      <c r="K855" s="360"/>
      <c r="L855" s="360"/>
      <c r="M855" s="332"/>
      <c r="N855" s="340"/>
      <c r="O855" s="341"/>
    </row>
    <row r="856" spans="1:15" ht="16.2" outlineLevel="1">
      <c r="A856" s="288"/>
      <c r="B856" s="351" t="s">
        <v>450</v>
      </c>
      <c r="C856" s="388" t="str">
        <f>IF(OR(I856&lt;&gt;0,H856&lt;&gt;0),"x"," ")</f>
        <v xml:space="preserve"> </v>
      </c>
      <c r="D856" s="338" t="str">
        <f>VLOOKUP($B856,DG!A:D,DG!$B$2,)</f>
        <v>02.1123</v>
      </c>
      <c r="E856" s="366" t="str">
        <f>VLOOKUP($B856,DG!A:D,DG!$C$2,)</f>
        <v>Bốc dỡ đà cản, đế néo</v>
      </c>
      <c r="F856" s="338" t="str">
        <f>VLOOKUP($B856,DG!A:D,DG!$D$2,)</f>
        <v>tấn</v>
      </c>
      <c r="G856" s="357">
        <f>G857</f>
        <v>0.17399999999999999</v>
      </c>
      <c r="H856" s="360"/>
      <c r="I856" s="360"/>
      <c r="J856" s="360"/>
      <c r="K856" s="360"/>
      <c r="L856" s="360"/>
      <c r="M856" s="332"/>
      <c r="N856" s="340"/>
      <c r="O856" s="341"/>
    </row>
    <row r="857" spans="1:15" ht="16.2" outlineLevel="1">
      <c r="A857" s="288"/>
      <c r="B857" s="356" t="s">
        <v>909</v>
      </c>
      <c r="C857" s="388" t="str">
        <f>IF(OR(I857&lt;&gt;0,H857&lt;&gt;0),"x"," ")</f>
        <v xml:space="preserve"> </v>
      </c>
      <c r="D857" s="338" t="str">
        <f>VLOOKUP($B857,DG!A:C,2,)</f>
        <v>02.1451</v>
      </c>
      <c r="E857" s="366" t="str">
        <f>VLOOKUP($B857,DG!A:C,3,)</f>
        <v>V/c đế néo vào vị trí (cự ly &lt;=100m)</v>
      </c>
      <c r="F857" s="338" t="str">
        <f>VLOOKUP($B857,DG!A:D,4,0)</f>
        <v>tấn</v>
      </c>
      <c r="G857" s="357">
        <v>0.17399999999999999</v>
      </c>
      <c r="H857" s="354"/>
      <c r="I857" s="354"/>
      <c r="J857" s="354"/>
      <c r="K857" s="354"/>
      <c r="L857" s="354"/>
      <c r="M857" s="332"/>
      <c r="N857" s="340"/>
      <c r="O857" s="341"/>
    </row>
    <row r="858" spans="1:15" ht="16.2" outlineLevel="1">
      <c r="A858" s="288"/>
      <c r="B858" s="356" t="s">
        <v>901</v>
      </c>
      <c r="C858" s="388" t="str">
        <f>IF(OR(I858&lt;&gt;0,H858&lt;&gt;0),"x"," ")</f>
        <v xml:space="preserve"> </v>
      </c>
      <c r="D858" s="338" t="str">
        <f>VLOOKUP($B858,DG!A:C,2,)</f>
        <v>02.1482</v>
      </c>
      <c r="E858" s="366" t="str">
        <f>VLOOKUP($B858,DG!A:C,3,)</f>
        <v>V/c dụng cụ thi công vào vị trí (cự ly &lt;=100m)</v>
      </c>
      <c r="F858" s="338" t="str">
        <f>VLOOKUP($B858,DG!A:D,4,0)</f>
        <v>tấn</v>
      </c>
      <c r="G858" s="357">
        <v>0.05</v>
      </c>
      <c r="H858" s="354"/>
      <c r="I858" s="354"/>
      <c r="J858" s="354"/>
      <c r="K858" s="354"/>
      <c r="L858" s="354"/>
      <c r="M858" s="332"/>
      <c r="N858" s="340"/>
      <c r="O858" s="341"/>
    </row>
    <row r="859" spans="1:15" ht="16.2" outlineLevel="1">
      <c r="A859" s="408" t="s">
        <v>919</v>
      </c>
      <c r="B859" s="343" t="s">
        <v>919</v>
      </c>
      <c r="C859" s="388" t="str">
        <f>IF(OR(I859&lt;&gt;0,H859&lt;&gt;0),"x"," ")</f>
        <v xml:space="preserve"> </v>
      </c>
      <c r="D859" s="345"/>
      <c r="E859" s="346" t="s">
        <v>920</v>
      </c>
      <c r="F859" s="347" t="s">
        <v>285</v>
      </c>
      <c r="G859" s="348"/>
      <c r="H859" s="349">
        <f>IFERROR(HLOOKUP(B859,'BKT-ThuHoi'!$5:$183,179,0),0)</f>
        <v>0</v>
      </c>
      <c r="I859" s="350">
        <f>H859+J859-K859</f>
        <v>0</v>
      </c>
      <c r="J859" s="350"/>
      <c r="K859" s="350"/>
      <c r="L859" s="350"/>
      <c r="M859" s="332"/>
      <c r="N859" s="340"/>
      <c r="O859" s="341"/>
    </row>
    <row r="860" spans="1:15" ht="16.2" outlineLevel="1">
      <c r="A860" s="288"/>
      <c r="B860" s="351" t="s">
        <v>915</v>
      </c>
      <c r="C860" s="388" t="str">
        <f>IF(OR(I860&lt;&gt;0,H860&lt;&gt;0),"x"," ")</f>
        <v xml:space="preserve"> </v>
      </c>
      <c r="D860" s="338"/>
      <c r="E860" s="358" t="str">
        <f>VLOOKUP($B860,DG!A:D,DG!$C$2,)</f>
        <v>Ty neo Ø22x3700</v>
      </c>
      <c r="F860" s="338" t="str">
        <f>VLOOKUP($B860,DG!A:D,DG!$D$2,)</f>
        <v>cái</v>
      </c>
      <c r="G860" s="359">
        <v>1</v>
      </c>
      <c r="H860" s="360">
        <f>H$859*$G860</f>
        <v>0</v>
      </c>
      <c r="I860" s="360"/>
      <c r="J860" s="360"/>
      <c r="K860" s="360"/>
      <c r="L860" s="360"/>
      <c r="M860" s="332"/>
      <c r="N860" s="340"/>
      <c r="O860" s="341"/>
    </row>
    <row r="861" spans="1:15" ht="16.2" outlineLevel="1">
      <c r="A861" s="288"/>
      <c r="B861" s="351" t="s">
        <v>921</v>
      </c>
      <c r="C861" s="388" t="str">
        <f>IF(OR(I861&lt;&gt;0,H861&lt;&gt;0),"x"," ")</f>
        <v xml:space="preserve"> </v>
      </c>
      <c r="D861" s="338" t="str">
        <f>VLOOKUP($B861,DG!A:D,DG!$B$2,)</f>
        <v>04.3802</v>
      </c>
      <c r="E861" s="358" t="str">
        <f>VLOOKUP($B861,DG!A:D,DG!$C$2,)</f>
        <v>Đế neo BTCT 400x1500</v>
      </c>
      <c r="F861" s="338" t="str">
        <f>VLOOKUP($B861,DG!A:D,DG!$D$2,)</f>
        <v>cái</v>
      </c>
      <c r="G861" s="359">
        <v>1</v>
      </c>
      <c r="H861" s="360">
        <f>H$859*$G861</f>
        <v>0</v>
      </c>
      <c r="I861" s="360"/>
      <c r="J861" s="360"/>
      <c r="K861" s="360"/>
      <c r="L861" s="360"/>
      <c r="M861" s="332"/>
      <c r="N861" s="340"/>
      <c r="O861" s="341"/>
    </row>
    <row r="862" spans="1:15" ht="16.2" outlineLevel="1">
      <c r="A862" s="288"/>
      <c r="B862" s="351" t="s">
        <v>908</v>
      </c>
      <c r="C862" s="388" t="str">
        <f>IF(OR(I862&lt;&gt;0,H862&lt;&gt;0),"x"," ")</f>
        <v xml:space="preserve"> </v>
      </c>
      <c r="D862" s="338" t="str">
        <f>VLOOKUP($B862,DG!A:D,DG!$B$2,)</f>
        <v>04.9001</v>
      </c>
      <c r="E862" s="358" t="str">
        <f>VLOOKUP($B862,DG!A:D,DG!$C$2,)</f>
        <v>Bitum</v>
      </c>
      <c r="F862" s="338" t="str">
        <f>VLOOKUP($B862,DG!A:D,DG!$D$2,)</f>
        <v>m2</v>
      </c>
      <c r="G862" s="385">
        <v>1.7</v>
      </c>
      <c r="H862" s="360">
        <f>H$859*$G862</f>
        <v>0</v>
      </c>
      <c r="I862" s="360"/>
      <c r="J862" s="360"/>
      <c r="K862" s="360"/>
      <c r="L862" s="360"/>
      <c r="M862" s="332"/>
      <c r="N862" s="340"/>
      <c r="O862" s="341"/>
    </row>
    <row r="863" spans="1:15" ht="16.2" outlineLevel="1">
      <c r="A863" s="288"/>
      <c r="B863" s="351" t="s">
        <v>470</v>
      </c>
      <c r="C863" s="388" t="str">
        <f>IF(OR(I863&lt;&gt;0,H863&lt;&gt;0),"x"," ")</f>
        <v xml:space="preserve"> </v>
      </c>
      <c r="D863" s="338" t="str">
        <f>VLOOKUP($B863,DG!A:D,DG!$B$2,)</f>
        <v>03.1013</v>
      </c>
      <c r="E863" s="366" t="str">
        <f>VLOOKUP($B863,DG!A:D,DG!$C$2,)</f>
        <v>Đào hố móng đất cấp 3 sâu &gt;1m DT&lt;5m2</v>
      </c>
      <c r="F863" s="338" t="str">
        <f>VLOOKUP($B863,DG!A:D,DG!$D$2,)</f>
        <v>m3</v>
      </c>
      <c r="G863" s="357">
        <v>10.5</v>
      </c>
      <c r="H863" s="360"/>
      <c r="I863" s="360"/>
      <c r="J863" s="360"/>
      <c r="K863" s="360"/>
      <c r="L863" s="360"/>
      <c r="M863" s="332"/>
      <c r="N863" s="340"/>
      <c r="O863" s="341"/>
    </row>
    <row r="864" spans="1:15" ht="16.2" outlineLevel="1">
      <c r="A864" s="288"/>
      <c r="B864" s="351" t="s">
        <v>471</v>
      </c>
      <c r="C864" s="388" t="str">
        <f>IF(OR(I864&lt;&gt;0,H864&lt;&gt;0),"x"," ")</f>
        <v xml:space="preserve"> </v>
      </c>
      <c r="D864" s="338" t="str">
        <f>VLOOKUP($B864,DG!A:D,DG!$B$2,)</f>
        <v>03.4113</v>
      </c>
      <c r="E864" s="366" t="str">
        <f>VLOOKUP($B864,DG!A:D,DG!$C$2,)</f>
        <v>Đắp đất hố móng, độ chặt k=0,95</v>
      </c>
      <c r="F864" s="338" t="str">
        <f>VLOOKUP($B864,DG!A:D,DG!$D$2,)</f>
        <v>m3</v>
      </c>
      <c r="G864" s="357">
        <v>11.95</v>
      </c>
      <c r="H864" s="360"/>
      <c r="I864" s="360"/>
      <c r="J864" s="360"/>
      <c r="K864" s="360"/>
      <c r="L864" s="360"/>
      <c r="M864" s="332"/>
      <c r="N864" s="340"/>
      <c r="O864" s="341"/>
    </row>
    <row r="865" spans="1:15" ht="16.2" outlineLevel="1">
      <c r="A865" s="288"/>
      <c r="B865" s="351" t="s">
        <v>450</v>
      </c>
      <c r="C865" s="388" t="str">
        <f>IF(OR(I865&lt;&gt;0,H865&lt;&gt;0),"x"," ")</f>
        <v xml:space="preserve"> </v>
      </c>
      <c r="D865" s="338" t="str">
        <f>VLOOKUP($B865,DG!A:D,DG!$B$2,)</f>
        <v>02.1123</v>
      </c>
      <c r="E865" s="366" t="str">
        <f>VLOOKUP($B865,DG!A:D,DG!$C$2,)</f>
        <v>Bốc dỡ đà cản, đế néo</v>
      </c>
      <c r="F865" s="338" t="str">
        <f>VLOOKUP($B865,DG!A:D,DG!$D$2,)</f>
        <v>tấn</v>
      </c>
      <c r="G865" s="357">
        <f>G866</f>
        <v>0.193</v>
      </c>
      <c r="H865" s="360"/>
      <c r="I865" s="360"/>
      <c r="J865" s="360"/>
      <c r="K865" s="360"/>
      <c r="L865" s="360"/>
      <c r="M865" s="332"/>
      <c r="N865" s="340"/>
      <c r="O865" s="341"/>
    </row>
    <row r="866" spans="1:15" ht="16.2" outlineLevel="1">
      <c r="A866" s="288"/>
      <c r="B866" s="356" t="s">
        <v>909</v>
      </c>
      <c r="C866" s="388" t="str">
        <f>IF(OR(I866&lt;&gt;0,H866&lt;&gt;0),"x"," ")</f>
        <v xml:space="preserve"> </v>
      </c>
      <c r="D866" s="338" t="str">
        <f>VLOOKUP($B866,DG!A:C,2,)</f>
        <v>02.1451</v>
      </c>
      <c r="E866" s="366" t="str">
        <f>VLOOKUP($B866,DG!A:C,3,)</f>
        <v>V/c đế néo vào vị trí (cự ly &lt;=100m)</v>
      </c>
      <c r="F866" s="338" t="str">
        <f>VLOOKUP($B866,DG!A:D,4,0)</f>
        <v>tấn</v>
      </c>
      <c r="G866" s="357">
        <v>0.193</v>
      </c>
      <c r="H866" s="354"/>
      <c r="I866" s="354"/>
      <c r="J866" s="354"/>
      <c r="K866" s="354"/>
      <c r="L866" s="354"/>
      <c r="M866" s="332"/>
      <c r="N866" s="340"/>
      <c r="O866" s="341"/>
    </row>
    <row r="867" spans="1:15" ht="16.2" outlineLevel="1">
      <c r="A867" s="288"/>
      <c r="B867" s="356" t="s">
        <v>901</v>
      </c>
      <c r="C867" s="388" t="str">
        <f>IF(OR(I867&lt;&gt;0,H867&lt;&gt;0),"x"," ")</f>
        <v xml:space="preserve"> </v>
      </c>
      <c r="D867" s="338" t="str">
        <f>VLOOKUP($B867,DG!A:C,2,)</f>
        <v>02.1482</v>
      </c>
      <c r="E867" s="366" t="str">
        <f>VLOOKUP($B867,DG!A:C,3,)</f>
        <v>V/c dụng cụ thi công vào vị trí (cự ly &lt;=100m)</v>
      </c>
      <c r="F867" s="338" t="str">
        <f>VLOOKUP($B867,DG!A:D,4,0)</f>
        <v>tấn</v>
      </c>
      <c r="G867" s="357">
        <v>0.05</v>
      </c>
      <c r="H867" s="354"/>
      <c r="I867" s="354"/>
      <c r="J867" s="354"/>
      <c r="K867" s="354"/>
      <c r="L867" s="354"/>
      <c r="M867" s="332"/>
      <c r="N867" s="340"/>
      <c r="O867" s="341"/>
    </row>
    <row r="868" spans="1:15" ht="16.2" outlineLevel="1">
      <c r="A868" s="342" t="s">
        <v>922</v>
      </c>
      <c r="B868" s="343" t="s">
        <v>922</v>
      </c>
      <c r="C868" s="388" t="str">
        <f>IF(OR(I868&lt;&gt;0,H868&lt;&gt;0),"x"," ")</f>
        <v xml:space="preserve"> </v>
      </c>
      <c r="D868" s="345"/>
      <c r="E868" s="346" t="s">
        <v>923</v>
      </c>
      <c r="F868" s="347" t="s">
        <v>285</v>
      </c>
      <c r="G868" s="348"/>
      <c r="H868" s="349">
        <f>IFERROR(HLOOKUP(B868,'BKT-ThuHoi'!$5:$183,179,0),0)</f>
        <v>0</v>
      </c>
      <c r="I868" s="350">
        <f>H868+J868-K868</f>
        <v>0</v>
      </c>
      <c r="J868" s="350"/>
      <c r="K868" s="350"/>
      <c r="L868" s="350"/>
      <c r="M868" s="332"/>
      <c r="N868" s="340"/>
      <c r="O868" s="341"/>
    </row>
    <row r="869" spans="1:15" ht="16.2" outlineLevel="1">
      <c r="A869" s="288"/>
      <c r="B869" s="351" t="s">
        <v>906</v>
      </c>
      <c r="C869" s="388" t="str">
        <f>IF(OR(I869&lt;&gt;0,H869&lt;&gt;0),"x"," ")</f>
        <v xml:space="preserve"> </v>
      </c>
      <c r="D869" s="338"/>
      <c r="E869" s="358" t="str">
        <f>VLOOKUP($B869,DG!A:D,DG!$C$2,)</f>
        <v>Ty neo Ø22x3000</v>
      </c>
      <c r="F869" s="338" t="str">
        <f>VLOOKUP($B869,DG!A:D,DG!$D$2,)</f>
        <v>cái</v>
      </c>
      <c r="G869" s="359">
        <v>1</v>
      </c>
      <c r="H869" s="360">
        <f>H$868*$G869</f>
        <v>0</v>
      </c>
      <c r="I869" s="360"/>
      <c r="J869" s="360"/>
      <c r="K869" s="360"/>
      <c r="L869" s="360"/>
      <c r="M869" s="332"/>
      <c r="N869" s="340"/>
      <c r="O869" s="341"/>
    </row>
    <row r="870" spans="1:15" ht="16.2" outlineLevel="1">
      <c r="A870" s="288"/>
      <c r="B870" s="351" t="s">
        <v>921</v>
      </c>
      <c r="C870" s="388" t="str">
        <f>IF(OR(I870&lt;&gt;0,H870&lt;&gt;0),"x"," ")</f>
        <v xml:space="preserve"> </v>
      </c>
      <c r="D870" s="338" t="str">
        <f>VLOOKUP($B870,DG!A:D,DG!$B$2,)</f>
        <v>04.3802</v>
      </c>
      <c r="E870" s="358" t="str">
        <f>VLOOKUP($B870,DG!A:D,DG!$C$2,)</f>
        <v>Đế neo BTCT 400x1500</v>
      </c>
      <c r="F870" s="338" t="str">
        <f>VLOOKUP($B870,DG!A:D,DG!$D$2,)</f>
        <v>cái</v>
      </c>
      <c r="G870" s="359">
        <v>1</v>
      </c>
      <c r="H870" s="360">
        <f>H$868*$G870</f>
        <v>0</v>
      </c>
      <c r="I870" s="360"/>
      <c r="J870" s="360"/>
      <c r="K870" s="360"/>
      <c r="L870" s="360"/>
      <c r="M870" s="332"/>
      <c r="N870" s="340"/>
      <c r="O870" s="341"/>
    </row>
    <row r="871" spans="1:15" ht="16.2" outlineLevel="1">
      <c r="A871" s="288"/>
      <c r="B871" s="351" t="s">
        <v>908</v>
      </c>
      <c r="C871" s="388" t="str">
        <f>IF(OR(I871&lt;&gt;0,H871&lt;&gt;0),"x"," ")</f>
        <v xml:space="preserve"> </v>
      </c>
      <c r="D871" s="338" t="str">
        <f>VLOOKUP($B871,DG!A:D,DG!$B$2,)</f>
        <v>04.9001</v>
      </c>
      <c r="E871" s="358" t="str">
        <f>VLOOKUP($B871,DG!A:D,DG!$C$2,)</f>
        <v>Bitum</v>
      </c>
      <c r="F871" s="338" t="str">
        <f>VLOOKUP($B871,DG!A:D,DG!$D$2,)</f>
        <v>m2</v>
      </c>
      <c r="G871" s="385">
        <v>1.7</v>
      </c>
      <c r="H871" s="360">
        <f>H$868*$G871</f>
        <v>0</v>
      </c>
      <c r="I871" s="360"/>
      <c r="J871" s="360"/>
      <c r="K871" s="360"/>
      <c r="L871" s="360"/>
      <c r="M871" s="332"/>
      <c r="N871" s="340"/>
      <c r="O871" s="341"/>
    </row>
    <row r="872" spans="1:15" ht="16.2" outlineLevel="1">
      <c r="A872" s="288"/>
      <c r="B872" s="351" t="s">
        <v>470</v>
      </c>
      <c r="C872" s="388" t="str">
        <f>IF(OR(I872&lt;&gt;0,H872&lt;&gt;0),"x"," ")</f>
        <v xml:space="preserve"> </v>
      </c>
      <c r="D872" s="338" t="str">
        <f>VLOOKUP($B872,DG!A:D,DG!$B$2,)</f>
        <v>03.1013</v>
      </c>
      <c r="E872" s="366" t="str">
        <f>VLOOKUP($B872,DG!A:D,DG!$C$2,)</f>
        <v>Đào hố móng đất cấp 3 sâu &gt;1m DT&lt;5m2</v>
      </c>
      <c r="F872" s="338" t="str">
        <f>VLOOKUP($B872,DG!A:D,DG!$D$2,)</f>
        <v>m3</v>
      </c>
      <c r="G872" s="357">
        <v>9.2799999999999994</v>
      </c>
      <c r="H872" s="360"/>
      <c r="I872" s="360"/>
      <c r="J872" s="360"/>
      <c r="K872" s="360"/>
      <c r="L872" s="360"/>
      <c r="M872" s="332"/>
      <c r="N872" s="340"/>
      <c r="O872" s="341"/>
    </row>
    <row r="873" spans="1:15" ht="16.2" outlineLevel="1">
      <c r="A873" s="288"/>
      <c r="B873" s="351" t="s">
        <v>471</v>
      </c>
      <c r="C873" s="388" t="str">
        <f>IF(OR(I873&lt;&gt;0,H873&lt;&gt;0),"x"," ")</f>
        <v xml:space="preserve"> </v>
      </c>
      <c r="D873" s="338" t="str">
        <f>VLOOKUP($B873,DG!A:D,DG!$B$2,)</f>
        <v>03.4113</v>
      </c>
      <c r="E873" s="366" t="str">
        <f>VLOOKUP($B873,DG!A:D,DG!$C$2,)</f>
        <v>Đắp đất hố móng, độ chặt k=0,95</v>
      </c>
      <c r="F873" s="338" t="str">
        <f>VLOOKUP($B873,DG!A:D,DG!$D$2,)</f>
        <v>m3</v>
      </c>
      <c r="G873" s="357">
        <v>9.76</v>
      </c>
      <c r="H873" s="360"/>
      <c r="I873" s="360"/>
      <c r="J873" s="360"/>
      <c r="K873" s="360"/>
      <c r="L873" s="360"/>
      <c r="M873" s="332"/>
      <c r="N873" s="340"/>
      <c r="O873" s="341"/>
    </row>
    <row r="874" spans="1:15" ht="16.2" outlineLevel="1">
      <c r="A874" s="288"/>
      <c r="B874" s="351" t="s">
        <v>450</v>
      </c>
      <c r="C874" s="388" t="str">
        <f>IF(OR(I874&lt;&gt;0,H874&lt;&gt;0),"x"," ")</f>
        <v xml:space="preserve"> </v>
      </c>
      <c r="D874" s="338" t="str">
        <f>VLOOKUP($B874,DG!A:D,DG!$B$2,)</f>
        <v>02.1123</v>
      </c>
      <c r="E874" s="366" t="str">
        <f>VLOOKUP($B874,DG!A:D,DG!$C$2,)</f>
        <v>Bốc dỡ đà cản, đế néo</v>
      </c>
      <c r="F874" s="338" t="str">
        <f>VLOOKUP($B874,DG!A:D,DG!$D$2,)</f>
        <v>tấn</v>
      </c>
      <c r="G874" s="357">
        <f>G875</f>
        <v>0.193</v>
      </c>
      <c r="H874" s="360"/>
      <c r="I874" s="360"/>
      <c r="J874" s="360"/>
      <c r="K874" s="360"/>
      <c r="L874" s="360"/>
      <c r="M874" s="332"/>
      <c r="N874" s="340"/>
      <c r="O874" s="341"/>
    </row>
    <row r="875" spans="1:15" ht="16.2" outlineLevel="1">
      <c r="A875" s="288"/>
      <c r="B875" s="356" t="s">
        <v>909</v>
      </c>
      <c r="C875" s="388" t="str">
        <f>IF(OR(I875&lt;&gt;0,H875&lt;&gt;0),"x"," ")</f>
        <v xml:space="preserve"> </v>
      </c>
      <c r="D875" s="338" t="str">
        <f>VLOOKUP($B875,DG!A:C,2,)</f>
        <v>02.1451</v>
      </c>
      <c r="E875" s="366" t="str">
        <f>VLOOKUP($B875,DG!A:C,3,)</f>
        <v>V/c đế néo vào vị trí (cự ly &lt;=100m)</v>
      </c>
      <c r="F875" s="338" t="str">
        <f>VLOOKUP($B875,DG!A:D,4,0)</f>
        <v>tấn</v>
      </c>
      <c r="G875" s="357">
        <v>0.193</v>
      </c>
      <c r="H875" s="354"/>
      <c r="I875" s="354"/>
      <c r="J875" s="354"/>
      <c r="K875" s="354"/>
      <c r="L875" s="354"/>
      <c r="M875" s="332"/>
      <c r="N875" s="340"/>
      <c r="O875" s="341"/>
    </row>
    <row r="876" spans="1:15" ht="16.2" outlineLevel="1">
      <c r="A876" s="288"/>
      <c r="B876" s="356" t="s">
        <v>901</v>
      </c>
      <c r="C876" s="388" t="str">
        <f>IF(OR(I876&lt;&gt;0,H876&lt;&gt;0),"x"," ")</f>
        <v xml:space="preserve"> </v>
      </c>
      <c r="D876" s="338" t="str">
        <f>VLOOKUP($B876,DG!A:C,2,)</f>
        <v>02.1482</v>
      </c>
      <c r="E876" s="366" t="str">
        <f>VLOOKUP($B876,DG!A:C,3,)</f>
        <v>V/c dụng cụ thi công vào vị trí (cự ly &lt;=100m)</v>
      </c>
      <c r="F876" s="338" t="str">
        <f>VLOOKUP($B876,DG!A:D,4,0)</f>
        <v>tấn</v>
      </c>
      <c r="G876" s="357">
        <v>0.05</v>
      </c>
      <c r="H876" s="354"/>
      <c r="I876" s="354"/>
      <c r="J876" s="354"/>
      <c r="K876" s="354"/>
      <c r="L876" s="354"/>
      <c r="M876" s="332"/>
      <c r="N876" s="340"/>
      <c r="O876" s="341"/>
    </row>
    <row r="877" spans="1:15" ht="16.2" outlineLevel="1">
      <c r="A877" s="409" t="s">
        <v>924</v>
      </c>
      <c r="B877" s="343" t="s">
        <v>924</v>
      </c>
      <c r="C877" s="388" t="str">
        <f>IF(OR(I877&lt;&gt;0,H877&lt;&gt;0),"x"," ")</f>
        <v xml:space="preserve"> </v>
      </c>
      <c r="D877" s="345"/>
      <c r="E877" s="346" t="s">
        <v>925</v>
      </c>
      <c r="F877" s="347" t="s">
        <v>285</v>
      </c>
      <c r="G877" s="348"/>
      <c r="H877" s="349">
        <f>IFERROR(HLOOKUP(B877,'BKT-ThuHoi'!$5:$183,179,0),0)</f>
        <v>0</v>
      </c>
      <c r="I877" s="350">
        <f>H877+J877-K877</f>
        <v>0</v>
      </c>
      <c r="J877" s="350"/>
      <c r="K877" s="350"/>
      <c r="L877" s="350"/>
      <c r="M877" s="332"/>
      <c r="N877" s="340"/>
      <c r="O877" s="341"/>
    </row>
    <row r="878" spans="1:15" ht="16.2" outlineLevel="1">
      <c r="A878" s="288"/>
      <c r="B878" s="351" t="s">
        <v>915</v>
      </c>
      <c r="C878" s="388" t="str">
        <f>IF(OR(I878&lt;&gt;0,H878&lt;&gt;0),"x"," ")</f>
        <v xml:space="preserve"> </v>
      </c>
      <c r="D878" s="338"/>
      <c r="E878" s="358" t="str">
        <f>VLOOKUP($B878,DG!A:D,DG!$C$2,)</f>
        <v>Ty neo Ø22x3700</v>
      </c>
      <c r="F878" s="338" t="str">
        <f>VLOOKUP($B878,DG!A:D,DG!$D$2,)</f>
        <v>cái</v>
      </c>
      <c r="G878" s="359">
        <v>1</v>
      </c>
      <c r="H878" s="360">
        <f>H$877*$G878</f>
        <v>0</v>
      </c>
      <c r="I878" s="360"/>
      <c r="J878" s="360"/>
      <c r="K878" s="360"/>
      <c r="L878" s="360"/>
      <c r="M878" s="332"/>
      <c r="N878" s="340"/>
      <c r="O878" s="341"/>
    </row>
    <row r="879" spans="1:15" ht="16.2" outlineLevel="1">
      <c r="A879" s="288"/>
      <c r="B879" s="351" t="s">
        <v>926</v>
      </c>
      <c r="C879" s="388" t="str">
        <f>IF(OR(I879&lt;&gt;0,H879&lt;&gt;0),"x"," ")</f>
        <v xml:space="preserve"> </v>
      </c>
      <c r="D879" s="338" t="str">
        <f>VLOOKUP($B879,DG!A:D,DG!$B$2,)</f>
        <v>04.3802</v>
      </c>
      <c r="E879" s="358" t="str">
        <f>VLOOKUP($B879,DG!A:D,DG!$C$2,)</f>
        <v>Đế neo BTCT 600x1500</v>
      </c>
      <c r="F879" s="338" t="str">
        <f>VLOOKUP($B879,DG!A:D,DG!$D$2,)</f>
        <v>cái</v>
      </c>
      <c r="G879" s="359">
        <v>1</v>
      </c>
      <c r="H879" s="360">
        <f>H$877*$G879</f>
        <v>0</v>
      </c>
      <c r="I879" s="360"/>
      <c r="J879" s="360"/>
      <c r="K879" s="360"/>
      <c r="L879" s="360"/>
      <c r="M879" s="332"/>
      <c r="N879" s="340"/>
      <c r="O879" s="341"/>
    </row>
    <row r="880" spans="1:15" ht="16.2" outlineLevel="1">
      <c r="A880" s="288"/>
      <c r="B880" s="351" t="s">
        <v>908</v>
      </c>
      <c r="C880" s="388" t="str">
        <f>IF(OR(I880&lt;&gt;0,H880&lt;&gt;0),"x"," ")</f>
        <v xml:space="preserve"> </v>
      </c>
      <c r="D880" s="338" t="str">
        <f>VLOOKUP($B880,DG!A:D,DG!$B$2,)</f>
        <v>04.9001</v>
      </c>
      <c r="E880" s="358" t="str">
        <f>VLOOKUP($B880,DG!A:D,DG!$C$2,)</f>
        <v>Bitum</v>
      </c>
      <c r="F880" s="338" t="str">
        <f>VLOOKUP($B880,DG!A:D,DG!$D$2,)</f>
        <v>m2</v>
      </c>
      <c r="G880" s="385">
        <v>2</v>
      </c>
      <c r="H880" s="360">
        <f>H$877*$G880</f>
        <v>0</v>
      </c>
      <c r="I880" s="360"/>
      <c r="J880" s="360"/>
      <c r="K880" s="360"/>
      <c r="L880" s="360"/>
      <c r="M880" s="332"/>
      <c r="N880" s="340"/>
      <c r="O880" s="341"/>
    </row>
    <row r="881" spans="1:15" ht="16.2" outlineLevel="1">
      <c r="A881" s="288"/>
      <c r="B881" s="351" t="s">
        <v>470</v>
      </c>
      <c r="C881" s="388" t="str">
        <f>IF(OR(I881&lt;&gt;0,H881&lt;&gt;0),"x"," ")</f>
        <v xml:space="preserve"> </v>
      </c>
      <c r="D881" s="338" t="str">
        <f>VLOOKUP($B881,DG!A:D,DG!$B$2,)</f>
        <v>03.1013</v>
      </c>
      <c r="E881" s="366" t="str">
        <f>VLOOKUP($B881,DG!A:D,DG!$C$2,)</f>
        <v>Đào hố móng đất cấp 3 sâu &gt;1m DT&lt;5m2</v>
      </c>
      <c r="F881" s="338" t="str">
        <f>VLOOKUP($B881,DG!A:D,DG!$D$2,)</f>
        <v>m3</v>
      </c>
      <c r="G881" s="357">
        <v>11.01</v>
      </c>
      <c r="H881" s="360"/>
      <c r="I881" s="360"/>
      <c r="J881" s="360"/>
      <c r="K881" s="360"/>
      <c r="L881" s="360"/>
      <c r="M881" s="332"/>
      <c r="N881" s="340"/>
      <c r="O881" s="341"/>
    </row>
    <row r="882" spans="1:15" ht="16.2" outlineLevel="1">
      <c r="A882" s="288"/>
      <c r="B882" s="351" t="s">
        <v>471</v>
      </c>
      <c r="C882" s="388" t="str">
        <f>IF(OR(I882&lt;&gt;0,H882&lt;&gt;0),"x"," ")</f>
        <v xml:space="preserve"> </v>
      </c>
      <c r="D882" s="338" t="str">
        <f>VLOOKUP($B882,DG!A:D,DG!$B$2,)</f>
        <v>03.4113</v>
      </c>
      <c r="E882" s="366" t="str">
        <f>VLOOKUP($B882,DG!A:D,DG!$C$2,)</f>
        <v>Đắp đất hố móng, độ chặt k=0,95</v>
      </c>
      <c r="F882" s="338" t="str">
        <f>VLOOKUP($B882,DG!A:D,DG!$D$2,)</f>
        <v>m3</v>
      </c>
      <c r="G882" s="357">
        <v>12.48</v>
      </c>
      <c r="H882" s="360"/>
      <c r="I882" s="360"/>
      <c r="J882" s="360"/>
      <c r="K882" s="360"/>
      <c r="L882" s="360"/>
      <c r="M882" s="332"/>
      <c r="N882" s="340"/>
      <c r="O882" s="341"/>
    </row>
    <row r="883" spans="1:15" ht="16.2" outlineLevel="1">
      <c r="A883" s="288"/>
      <c r="B883" s="351" t="s">
        <v>450</v>
      </c>
      <c r="C883" s="388" t="str">
        <f>IF(OR(I883&lt;&gt;0,H883&lt;&gt;0),"x"," ")</f>
        <v xml:space="preserve"> </v>
      </c>
      <c r="D883" s="338" t="str">
        <f>VLOOKUP($B883,DG!A:D,DG!$B$2,)</f>
        <v>02.1123</v>
      </c>
      <c r="E883" s="366" t="str">
        <f>VLOOKUP($B883,DG!A:D,DG!$C$2,)</f>
        <v>Bốc dỡ đà cản, đế néo</v>
      </c>
      <c r="F883" s="338" t="str">
        <f>VLOOKUP($B883,DG!A:D,DG!$D$2,)</f>
        <v>tấn</v>
      </c>
      <c r="G883" s="357">
        <f>G884</f>
        <v>0.28899999999999998</v>
      </c>
      <c r="H883" s="360"/>
      <c r="I883" s="360"/>
      <c r="J883" s="360"/>
      <c r="K883" s="360"/>
      <c r="L883" s="360"/>
      <c r="M883" s="332"/>
      <c r="N883" s="340"/>
      <c r="O883" s="341"/>
    </row>
    <row r="884" spans="1:15" ht="16.2" outlineLevel="1">
      <c r="A884" s="288"/>
      <c r="B884" s="356" t="s">
        <v>909</v>
      </c>
      <c r="C884" s="388" t="str">
        <f>IF(OR(I884&lt;&gt;0,H884&lt;&gt;0),"x"," ")</f>
        <v xml:space="preserve"> </v>
      </c>
      <c r="D884" s="338" t="str">
        <f>VLOOKUP($B884,DG!A:C,2,)</f>
        <v>02.1451</v>
      </c>
      <c r="E884" s="366" t="str">
        <f>VLOOKUP($B884,DG!A:C,3,)</f>
        <v>V/c đế néo vào vị trí (cự ly &lt;=100m)</v>
      </c>
      <c r="F884" s="338" t="str">
        <f>VLOOKUP($B884,DG!A:D,4,0)</f>
        <v>tấn</v>
      </c>
      <c r="G884" s="357">
        <v>0.28899999999999998</v>
      </c>
      <c r="H884" s="354"/>
      <c r="I884" s="354"/>
      <c r="J884" s="354"/>
      <c r="K884" s="354"/>
      <c r="L884" s="354"/>
      <c r="M884" s="332"/>
      <c r="N884" s="340"/>
      <c r="O884" s="341"/>
    </row>
    <row r="885" spans="1:15" ht="16.2" outlineLevel="1">
      <c r="A885" s="288"/>
      <c r="B885" s="356" t="s">
        <v>901</v>
      </c>
      <c r="C885" s="388" t="str">
        <f>IF(OR(I885&lt;&gt;0,H885&lt;&gt;0),"x"," ")</f>
        <v xml:space="preserve"> </v>
      </c>
      <c r="D885" s="338" t="str">
        <f>VLOOKUP($B885,DG!A:C,2,)</f>
        <v>02.1482</v>
      </c>
      <c r="E885" s="366" t="str">
        <f>VLOOKUP($B885,DG!A:C,3,)</f>
        <v>V/c dụng cụ thi công vào vị trí (cự ly &lt;=100m)</v>
      </c>
      <c r="F885" s="338" t="str">
        <f>VLOOKUP($B885,DG!A:D,4,0)</f>
        <v>tấn</v>
      </c>
      <c r="G885" s="357">
        <v>0.05</v>
      </c>
      <c r="H885" s="354"/>
      <c r="I885" s="354"/>
      <c r="J885" s="354"/>
      <c r="K885" s="354"/>
      <c r="L885" s="354"/>
      <c r="M885" s="332"/>
      <c r="N885" s="340"/>
      <c r="O885" s="341"/>
    </row>
    <row r="886" spans="1:15" ht="16.2" outlineLevel="1">
      <c r="A886" s="409" t="s">
        <v>927</v>
      </c>
      <c r="B886" s="343" t="s">
        <v>927</v>
      </c>
      <c r="C886" s="388" t="str">
        <f>IF(OR(I886&lt;&gt;0,H886&lt;&gt;0),"x"," ")</f>
        <v xml:space="preserve"> </v>
      </c>
      <c r="D886" s="345"/>
      <c r="E886" s="346" t="s">
        <v>928</v>
      </c>
      <c r="F886" s="347" t="s">
        <v>285</v>
      </c>
      <c r="G886" s="348"/>
      <c r="H886" s="349">
        <f>IFERROR(HLOOKUP(B886,'BKT-ThuHoi'!$5:$183,179,0),0)</f>
        <v>0</v>
      </c>
      <c r="I886" s="350">
        <f>H886+J886-K886</f>
        <v>0</v>
      </c>
      <c r="J886" s="350"/>
      <c r="K886" s="350"/>
      <c r="L886" s="350"/>
      <c r="M886" s="332"/>
      <c r="N886" s="340"/>
      <c r="O886" s="341"/>
    </row>
    <row r="887" spans="1:15" ht="16.2" outlineLevel="1">
      <c r="A887" s="288"/>
      <c r="B887" s="351" t="s">
        <v>906</v>
      </c>
      <c r="C887" s="388" t="str">
        <f>IF(OR(I887&lt;&gt;0,H887&lt;&gt;0),"x"," ")</f>
        <v xml:space="preserve"> </v>
      </c>
      <c r="D887" s="338"/>
      <c r="E887" s="358" t="str">
        <f>VLOOKUP($B887,DG!A:D,DG!$C$2,)</f>
        <v>Ty neo Ø22x3000</v>
      </c>
      <c r="F887" s="338" t="str">
        <f>VLOOKUP($B887,DG!A:D,DG!$D$2,)</f>
        <v>cái</v>
      </c>
      <c r="G887" s="359">
        <v>1</v>
      </c>
      <c r="H887" s="360">
        <f>H$886*$G887</f>
        <v>0</v>
      </c>
      <c r="I887" s="360"/>
      <c r="J887" s="360"/>
      <c r="K887" s="360"/>
      <c r="L887" s="360"/>
      <c r="M887" s="332"/>
      <c r="N887" s="340"/>
      <c r="O887" s="341"/>
    </row>
    <row r="888" spans="1:15" ht="16.2" outlineLevel="1">
      <c r="A888" s="288"/>
      <c r="B888" s="351" t="s">
        <v>926</v>
      </c>
      <c r="C888" s="388" t="str">
        <f>IF(OR(I888&lt;&gt;0,H888&lt;&gt;0),"x"," ")</f>
        <v xml:space="preserve"> </v>
      </c>
      <c r="D888" s="338" t="str">
        <f>VLOOKUP($B888,DG!A:D,DG!$B$2,)</f>
        <v>04.3802</v>
      </c>
      <c r="E888" s="358" t="str">
        <f>VLOOKUP($B888,DG!A:D,DG!$C$2,)</f>
        <v>Đế neo BTCT 600x1500</v>
      </c>
      <c r="F888" s="338" t="str">
        <f>VLOOKUP($B888,DG!A:D,DG!$D$2,)</f>
        <v>cái</v>
      </c>
      <c r="G888" s="359">
        <v>1</v>
      </c>
      <c r="H888" s="360">
        <f>H$886*$G888</f>
        <v>0</v>
      </c>
      <c r="I888" s="360"/>
      <c r="J888" s="360"/>
      <c r="K888" s="360"/>
      <c r="L888" s="360"/>
      <c r="M888" s="332"/>
      <c r="N888" s="340"/>
      <c r="O888" s="341"/>
    </row>
    <row r="889" spans="1:15" ht="16.2" outlineLevel="1">
      <c r="A889" s="288"/>
      <c r="B889" s="351" t="s">
        <v>908</v>
      </c>
      <c r="C889" s="388" t="str">
        <f>IF(OR(I889&lt;&gt;0,H889&lt;&gt;0),"x"," ")</f>
        <v xml:space="preserve"> </v>
      </c>
      <c r="D889" s="338" t="str">
        <f>VLOOKUP($B889,DG!A:D,DG!$B$2,)</f>
        <v>04.9001</v>
      </c>
      <c r="E889" s="358" t="str">
        <f>VLOOKUP($B889,DG!A:D,DG!$C$2,)</f>
        <v>Bitum</v>
      </c>
      <c r="F889" s="338" t="str">
        <f>VLOOKUP($B889,DG!A:D,DG!$D$2,)</f>
        <v>m2</v>
      </c>
      <c r="G889" s="385">
        <v>2</v>
      </c>
      <c r="H889" s="360">
        <f>H$886*$G889</f>
        <v>0</v>
      </c>
      <c r="I889" s="360"/>
      <c r="J889" s="360"/>
      <c r="K889" s="360"/>
      <c r="L889" s="360"/>
      <c r="M889" s="332"/>
      <c r="N889" s="340"/>
      <c r="O889" s="341"/>
    </row>
    <row r="890" spans="1:15" ht="16.2" outlineLevel="1">
      <c r="A890" s="288"/>
      <c r="B890" s="351" t="s">
        <v>470</v>
      </c>
      <c r="C890" s="388" t="str">
        <f>IF(OR(I890&lt;&gt;0,H890&lt;&gt;0),"x"," ")</f>
        <v xml:space="preserve"> </v>
      </c>
      <c r="D890" s="338" t="str">
        <f>VLOOKUP($B890,DG!A:D,DG!$B$2,)</f>
        <v>03.1013</v>
      </c>
      <c r="E890" s="366" t="str">
        <f>VLOOKUP($B890,DG!A:D,DG!$C$2,)</f>
        <v>Đào hố móng đất cấp 3 sâu &gt;1m DT&lt;5m2</v>
      </c>
      <c r="F890" s="338" t="str">
        <f>VLOOKUP($B890,DG!A:D,DG!$D$2,)</f>
        <v>m3</v>
      </c>
      <c r="G890" s="357">
        <v>10.56</v>
      </c>
      <c r="H890" s="360"/>
      <c r="I890" s="360"/>
      <c r="J890" s="360"/>
      <c r="K890" s="360"/>
      <c r="L890" s="360"/>
      <c r="M890" s="332"/>
      <c r="N890" s="340"/>
      <c r="O890" s="341"/>
    </row>
    <row r="891" spans="1:15" ht="16.2" outlineLevel="1">
      <c r="A891" s="288"/>
      <c r="B891" s="351" t="s">
        <v>471</v>
      </c>
      <c r="C891" s="388" t="str">
        <f>IF(OR(I891&lt;&gt;0,H891&lt;&gt;0),"x"," ")</f>
        <v xml:space="preserve"> </v>
      </c>
      <c r="D891" s="338" t="str">
        <f>VLOOKUP($B891,DG!A:D,DG!$B$2,)</f>
        <v>03.4113</v>
      </c>
      <c r="E891" s="366" t="str">
        <f>VLOOKUP($B891,DG!A:D,DG!$C$2,)</f>
        <v>Đắp đất hố móng, độ chặt k=0,95</v>
      </c>
      <c r="F891" s="338" t="str">
        <f>VLOOKUP($B891,DG!A:D,DG!$D$2,)</f>
        <v>m3</v>
      </c>
      <c r="G891" s="357">
        <v>11.78</v>
      </c>
      <c r="H891" s="360"/>
      <c r="I891" s="360"/>
      <c r="J891" s="360"/>
      <c r="K891" s="360"/>
      <c r="L891" s="360"/>
      <c r="M891" s="332"/>
      <c r="N891" s="340"/>
      <c r="O891" s="341"/>
    </row>
    <row r="892" spans="1:15" ht="16.2" outlineLevel="1">
      <c r="A892" s="288"/>
      <c r="B892" s="351" t="s">
        <v>450</v>
      </c>
      <c r="C892" s="388" t="str">
        <f>IF(OR(I892&lt;&gt;0,H892&lt;&gt;0),"x"," ")</f>
        <v xml:space="preserve"> </v>
      </c>
      <c r="D892" s="338" t="str">
        <f>VLOOKUP($B892,DG!A:D,DG!$B$2,)</f>
        <v>02.1123</v>
      </c>
      <c r="E892" s="366" t="str">
        <f>VLOOKUP($B892,DG!A:D,DG!$C$2,)</f>
        <v>Bốc dỡ đà cản, đế néo</v>
      </c>
      <c r="F892" s="338" t="str">
        <f>VLOOKUP($B892,DG!A:D,DG!$D$2,)</f>
        <v>tấn</v>
      </c>
      <c r="G892" s="357">
        <f>G893</f>
        <v>0.28899999999999998</v>
      </c>
      <c r="H892" s="360"/>
      <c r="I892" s="360"/>
      <c r="J892" s="360"/>
      <c r="K892" s="360"/>
      <c r="L892" s="360"/>
      <c r="M892" s="332"/>
      <c r="N892" s="340"/>
      <c r="O892" s="341"/>
    </row>
    <row r="893" spans="1:15" ht="16.2" outlineLevel="1">
      <c r="A893" s="288"/>
      <c r="B893" s="356" t="s">
        <v>909</v>
      </c>
      <c r="C893" s="388" t="str">
        <f>IF(OR(I893&lt;&gt;0,H893&lt;&gt;0),"x"," ")</f>
        <v xml:space="preserve"> </v>
      </c>
      <c r="D893" s="338" t="str">
        <f>VLOOKUP($B893,DG!A:C,2,)</f>
        <v>02.1451</v>
      </c>
      <c r="E893" s="366" t="str">
        <f>VLOOKUP($B893,DG!A:C,3,)</f>
        <v>V/c đế néo vào vị trí (cự ly &lt;=100m)</v>
      </c>
      <c r="F893" s="338" t="str">
        <f>VLOOKUP($B893,DG!A:D,4,0)</f>
        <v>tấn</v>
      </c>
      <c r="G893" s="357">
        <v>0.28899999999999998</v>
      </c>
      <c r="H893" s="354"/>
      <c r="I893" s="354"/>
      <c r="J893" s="354"/>
      <c r="K893" s="354"/>
      <c r="L893" s="354"/>
      <c r="M893" s="332"/>
      <c r="N893" s="340"/>
      <c r="O893" s="341"/>
    </row>
    <row r="894" spans="1:15" ht="16.2" outlineLevel="1">
      <c r="A894" s="288"/>
      <c r="B894" s="356" t="s">
        <v>901</v>
      </c>
      <c r="C894" s="388" t="str">
        <f>IF(OR(I894&lt;&gt;0,H894&lt;&gt;0),"x"," ")</f>
        <v xml:space="preserve"> </v>
      </c>
      <c r="D894" s="338" t="str">
        <f>VLOOKUP($B894,DG!A:C,2,)</f>
        <v>02.1482</v>
      </c>
      <c r="E894" s="366" t="str">
        <f>VLOOKUP($B894,DG!A:C,3,)</f>
        <v>V/c dụng cụ thi công vào vị trí (cự ly &lt;=100m)</v>
      </c>
      <c r="F894" s="338" t="str">
        <f>VLOOKUP($B894,DG!A:D,4,0)</f>
        <v>tấn</v>
      </c>
      <c r="G894" s="357">
        <v>0.05</v>
      </c>
      <c r="H894" s="354"/>
      <c r="I894" s="354"/>
      <c r="J894" s="354"/>
      <c r="K894" s="354"/>
      <c r="L894" s="354"/>
      <c r="M894" s="332"/>
      <c r="N894" s="340"/>
      <c r="O894" s="341"/>
    </row>
    <row r="895" spans="1:15" ht="17.25" customHeight="1">
      <c r="A895" s="372"/>
      <c r="B895" s="343">
        <v>0</v>
      </c>
      <c r="C895" s="388" t="s">
        <v>443</v>
      </c>
      <c r="D895" s="347" t="s">
        <v>929</v>
      </c>
      <c r="E895" s="347" t="s">
        <v>930</v>
      </c>
      <c r="F895" s="345"/>
      <c r="G895" s="389">
        <f>SUM(H895:H895)+L895</f>
        <v>0</v>
      </c>
      <c r="H895" s="349">
        <f>IFERROR(HLOOKUP(B895,'BKT-ThuHoi'!$5:$183,179,0),0)</f>
        <v>0</v>
      </c>
      <c r="I895" s="349">
        <f>H895+J895-K895</f>
        <v>0</v>
      </c>
      <c r="J895" s="345"/>
      <c r="K895" s="345"/>
      <c r="L895" s="345"/>
      <c r="M895" s="340"/>
      <c r="N895" s="340"/>
      <c r="O895" s="341"/>
    </row>
    <row r="896" spans="1:15" ht="16.2">
      <c r="A896" s="382" t="s">
        <v>931</v>
      </c>
      <c r="B896" s="343" t="s">
        <v>931</v>
      </c>
      <c r="C896" s="388" t="str">
        <f>IF(G896&lt;&gt;0,"x"," ")</f>
        <v>x</v>
      </c>
      <c r="D896" s="347" t="s">
        <v>932</v>
      </c>
      <c r="E896" s="346" t="s">
        <v>933</v>
      </c>
      <c r="F896" s="347" t="s">
        <v>934</v>
      </c>
      <c r="G896" s="348">
        <f>IF(SUM(G897:G916)&lt;&gt;0,1,0)</f>
        <v>1</v>
      </c>
      <c r="H896" s="349">
        <f>IFERROR(HLOOKUP(B896,'BKT-ThuHoi'!$5:$183,179,0),0)</f>
        <v>0</v>
      </c>
      <c r="I896" s="350">
        <f>H896+J896-K896</f>
        <v>0</v>
      </c>
      <c r="J896" s="350"/>
      <c r="K896" s="350"/>
      <c r="L896" s="350"/>
      <c r="M896" s="340"/>
      <c r="N896" s="340"/>
      <c r="O896" s="341"/>
    </row>
    <row r="897" spans="1:15" ht="16.2">
      <c r="A897" s="288"/>
      <c r="B897" s="351" t="s">
        <v>935</v>
      </c>
      <c r="C897" s="388" t="str">
        <f>IF(OR(I897&lt;&gt;0,H897&lt;&gt;0),"x"," ")</f>
        <v xml:space="preserve"> </v>
      </c>
      <c r="D897" s="410">
        <f>[3]pp_NC!D186</f>
        <v>0</v>
      </c>
      <c r="E897" s="358" t="str">
        <f>VLOOKUP($B897,DG!A:D,DG!$C$2,)</f>
        <v>Cáp nhôm lõi thép AC-240/39</v>
      </c>
      <c r="F897" s="338" t="str">
        <f>VLOOKUP($B897,DG!A:D,DG!$D$2,)</f>
        <v>kg</v>
      </c>
      <c r="G897" s="385">
        <f>ROUND(D897*1.02*0.952,2)</f>
        <v>0</v>
      </c>
      <c r="H897" s="360">
        <f>$G897</f>
        <v>0</v>
      </c>
      <c r="I897" s="360">
        <f>H897+J897-K897</f>
        <v>0</v>
      </c>
      <c r="J897" s="360"/>
      <c r="K897" s="360"/>
      <c r="L897" s="360"/>
      <c r="M897" s="332"/>
      <c r="N897" s="340"/>
      <c r="O897" s="341"/>
    </row>
    <row r="898" spans="1:15" ht="16.2">
      <c r="A898" s="288"/>
      <c r="B898" s="351" t="s">
        <v>936</v>
      </c>
      <c r="C898" s="388" t="str">
        <f>IF(OR(I898&lt;&gt;0,H898&lt;&gt;0),"x"," ")</f>
        <v xml:space="preserve"> </v>
      </c>
      <c r="D898" s="410">
        <f>[3]pp_NC!D187</f>
        <v>0</v>
      </c>
      <c r="E898" s="358" t="str">
        <f>VLOOKUP($B898,DG!A:D,DG!$C$2,)</f>
        <v>Cáp nhôm lõi thép AC-185/29</v>
      </c>
      <c r="F898" s="338" t="str">
        <f>VLOOKUP($B898,DG!A:D,DG!$D$2,)</f>
        <v>kg</v>
      </c>
      <c r="G898" s="385">
        <f>ROUND(D898*1.02*0.727,2)</f>
        <v>0</v>
      </c>
      <c r="H898" s="360">
        <f>$G898</f>
        <v>0</v>
      </c>
      <c r="I898" s="360">
        <f>H898+J898-K898</f>
        <v>0</v>
      </c>
      <c r="J898" s="360"/>
      <c r="K898" s="360"/>
      <c r="L898" s="360"/>
      <c r="M898" s="332"/>
      <c r="N898" s="340"/>
      <c r="O898" s="341"/>
    </row>
    <row r="899" spans="1:15" ht="16.2">
      <c r="A899" s="288"/>
      <c r="B899" s="351" t="s">
        <v>937</v>
      </c>
      <c r="C899" s="388" t="str">
        <f>IF(OR(I899&lt;&gt;0,H899&lt;&gt;0),"x"," ")</f>
        <v xml:space="preserve"> </v>
      </c>
      <c r="D899" s="410">
        <f>[3]pp_NC!D188</f>
        <v>0</v>
      </c>
      <c r="E899" s="358" t="str">
        <f>VLOOKUP($B899,DG!A:D,DG!$C$2,)</f>
        <v>Cáp nhôm lõi thép AC-150/24</v>
      </c>
      <c r="F899" s="338" t="str">
        <f>VLOOKUP($B899,DG!A:D,DG!$D$2,)</f>
        <v>kg</v>
      </c>
      <c r="G899" s="385">
        <f>ROUND(D899*1.02*0.6,2)</f>
        <v>0</v>
      </c>
      <c r="H899" s="360">
        <f t="shared" ref="H899:H992" si="57">$G899</f>
        <v>0</v>
      </c>
      <c r="I899" s="360">
        <f>H899+J899-K899</f>
        <v>0</v>
      </c>
      <c r="J899" s="360"/>
      <c r="K899" s="360"/>
      <c r="L899" s="360"/>
      <c r="M899" s="332"/>
      <c r="N899" s="340"/>
      <c r="O899" s="341"/>
    </row>
    <row r="900" spans="1:15" ht="16.2">
      <c r="A900" s="288"/>
      <c r="B900" s="351" t="s">
        <v>938</v>
      </c>
      <c r="C900" s="388" t="str">
        <f>IF(OR(I900&lt;&gt;0,H900&lt;&gt;0),"x"," ")</f>
        <v xml:space="preserve"> </v>
      </c>
      <c r="D900" s="410"/>
      <c r="E900" s="358" t="str">
        <f>VLOOKUP($B900,DG!A:D,DG!$C$2,)</f>
        <v>Cáp nhôm lõi thép AC-120/19</v>
      </c>
      <c r="F900" s="338" t="str">
        <f>VLOOKUP($B900,DG!A:D,DG!$D$2,)</f>
        <v>kg</v>
      </c>
      <c r="G900" s="385">
        <f>ROUND(D900*1.02*0.471,2)</f>
        <v>0</v>
      </c>
      <c r="H900" s="360">
        <f t="shared" si="57"/>
        <v>0</v>
      </c>
      <c r="I900" s="360">
        <f>H900+J900-K900</f>
        <v>0</v>
      </c>
      <c r="J900" s="360"/>
      <c r="K900" s="360"/>
      <c r="L900" s="360"/>
      <c r="M900" s="332"/>
      <c r="N900" s="340"/>
      <c r="O900" s="341"/>
    </row>
    <row r="901" spans="1:15" ht="16.2">
      <c r="A901" s="288"/>
      <c r="B901" s="351" t="s">
        <v>939</v>
      </c>
      <c r="C901" s="388" t="str">
        <f>IF(OR(I901&lt;&gt;0,H901&lt;&gt;0),"x"," ")</f>
        <v xml:space="preserve"> </v>
      </c>
      <c r="D901" s="410">
        <f>[3]pp_NC!D190</f>
        <v>0</v>
      </c>
      <c r="E901" s="358" t="str">
        <f>VLOOKUP($B901,DG!A:D,DG!$C$2,)</f>
        <v>Cáp nhôm lõi thép AC-95/16</v>
      </c>
      <c r="F901" s="338" t="str">
        <f>VLOOKUP($B901,DG!A:D,DG!$D$2,)</f>
        <v>kg</v>
      </c>
      <c r="G901" s="385">
        <f>ROUND(D901*1.02*0.384,2)</f>
        <v>0</v>
      </c>
      <c r="H901" s="360">
        <f t="shared" si="57"/>
        <v>0</v>
      </c>
      <c r="I901" s="360">
        <f>H901+J901-K901</f>
        <v>0</v>
      </c>
      <c r="J901" s="360"/>
      <c r="K901" s="360"/>
      <c r="L901" s="360"/>
      <c r="M901" s="332"/>
      <c r="N901" s="340"/>
      <c r="O901" s="341"/>
    </row>
    <row r="902" spans="1:15" ht="16.2">
      <c r="A902" s="288"/>
      <c r="B902" s="351" t="s">
        <v>940</v>
      </c>
      <c r="C902" s="388" t="str">
        <f>IF(OR(I902&lt;&gt;0,H902&lt;&gt;0),"x"," ")</f>
        <v xml:space="preserve"> </v>
      </c>
      <c r="D902" s="410">
        <f>[3]pp_NC!D191</f>
        <v>0</v>
      </c>
      <c r="E902" s="358" t="str">
        <f>VLOOKUP($B902,DG!A:D,DG!$C$2,)</f>
        <v>Cáp nhôm lõi thép AC-70/11</v>
      </c>
      <c r="F902" s="338" t="str">
        <f>VLOOKUP($B902,DG!A:D,DG!$D$2,)</f>
        <v>kg</v>
      </c>
      <c r="G902" s="385">
        <f>ROUND(D902*1.02*0.274,2)</f>
        <v>0</v>
      </c>
      <c r="H902" s="360">
        <f t="shared" si="57"/>
        <v>0</v>
      </c>
      <c r="I902" s="360">
        <f>H902+J902-K902</f>
        <v>0</v>
      </c>
      <c r="J902" s="360"/>
      <c r="K902" s="360"/>
      <c r="L902" s="360"/>
      <c r="M902" s="332"/>
      <c r="N902" s="340"/>
      <c r="O902" s="341"/>
    </row>
    <row r="903" spans="1:15" ht="16.2">
      <c r="A903" s="288"/>
      <c r="B903" s="351" t="s">
        <v>941</v>
      </c>
      <c r="C903" s="388" t="str">
        <f>IF(OR(I903&lt;&gt;0,H903&lt;&gt;0),"x"," ")</f>
        <v xml:space="preserve"> </v>
      </c>
      <c r="D903" s="410"/>
      <c r="E903" s="358" t="str">
        <f>VLOOKUP($B903,DG!A:D,DG!$C$2,)</f>
        <v>Cáp nhôm lõi thép AC-50/8</v>
      </c>
      <c r="F903" s="338" t="str">
        <f>VLOOKUP($B903,DG!A:D,DG!$D$2,)</f>
        <v>kg</v>
      </c>
      <c r="G903" s="385">
        <f>ROUND(D903*1.02*0.195,2)</f>
        <v>0</v>
      </c>
      <c r="H903" s="360">
        <f t="shared" si="57"/>
        <v>0</v>
      </c>
      <c r="I903" s="360">
        <f>H903+J903-K903</f>
        <v>0</v>
      </c>
      <c r="J903" s="360"/>
      <c r="K903" s="360"/>
      <c r="L903" s="360"/>
      <c r="M903" s="332"/>
      <c r="N903" s="340"/>
      <c r="O903" s="341"/>
    </row>
    <row r="904" spans="1:15" ht="16.2">
      <c r="A904" s="384"/>
      <c r="B904" s="336" t="s">
        <v>942</v>
      </c>
      <c r="C904" s="388" t="str">
        <f>IF(OR(I904&lt;&gt;0,H904&lt;&gt;0),"x"," ")</f>
        <v xml:space="preserve"> </v>
      </c>
      <c r="D904" s="410">
        <f>[3]pp_NC!C199</f>
        <v>0</v>
      </c>
      <c r="E904" s="358" t="str">
        <f>VLOOKUP($B904,DG!A:D,DG!$C$2,)</f>
        <v>Cáp 24KV AS/XLPE/PVC 50 mm2</v>
      </c>
      <c r="F904" s="338" t="str">
        <f>VLOOKUP($B904,DG!A:D,DG!$D$2,)</f>
        <v>mét</v>
      </c>
      <c r="G904" s="385">
        <f>D904*2.04</f>
        <v>0</v>
      </c>
      <c r="H904" s="379">
        <f t="shared" si="57"/>
        <v>0</v>
      </c>
      <c r="I904" s="379">
        <f>H904+J904-K904</f>
        <v>0</v>
      </c>
      <c r="J904" s="360"/>
      <c r="K904" s="360"/>
      <c r="L904" s="360"/>
      <c r="M904" s="339"/>
      <c r="N904" s="340"/>
      <c r="O904" s="341"/>
    </row>
    <row r="905" spans="1:15" ht="16.2">
      <c r="A905" s="288"/>
      <c r="B905" s="351" t="s">
        <v>943</v>
      </c>
      <c r="C905" s="388" t="str">
        <f>IF(OR(I905&lt;&gt;0,H905&lt;&gt;0),"x"," ")</f>
        <v xml:space="preserve"> </v>
      </c>
      <c r="D905" s="410">
        <f>[3]pp_NC!D193</f>
        <v>0</v>
      </c>
      <c r="E905" s="358" t="str">
        <f>VLOOKUP($B905,DG!A:D,DG!$C$2,)</f>
        <v>Cáp 24KV A/XLPE/PVC 240mm2</v>
      </c>
      <c r="F905" s="338" t="str">
        <f>VLOOKUP($B905,DG!A:D,DG!$D$2,)</f>
        <v>mét</v>
      </c>
      <c r="G905" s="359">
        <f t="shared" ref="G905:G910" si="58">ROUND(D905*1.03,2)</f>
        <v>0</v>
      </c>
      <c r="H905" s="360">
        <f t="shared" si="57"/>
        <v>0</v>
      </c>
      <c r="I905" s="360">
        <f>H905+J905-K905</f>
        <v>0</v>
      </c>
      <c r="J905" s="360"/>
      <c r="K905" s="360"/>
      <c r="L905" s="360"/>
      <c r="M905" s="332"/>
      <c r="N905" s="340"/>
      <c r="O905" s="341"/>
    </row>
    <row r="906" spans="1:15" ht="16.2">
      <c r="A906" s="288"/>
      <c r="B906" s="351" t="s">
        <v>944</v>
      </c>
      <c r="C906" s="388" t="str">
        <f>IF(OR(I906&lt;&gt;0,H906&lt;&gt;0),"x"," ")</f>
        <v xml:space="preserve"> </v>
      </c>
      <c r="D906" s="410">
        <f>[3]pp_NC!D194</f>
        <v>0</v>
      </c>
      <c r="E906" s="358" t="str">
        <f>VLOOKUP($B906,DG!A:D,DG!$C$2,)</f>
        <v>Cáp 24KV A/XLPE/PVC 185mm2</v>
      </c>
      <c r="F906" s="338" t="str">
        <f>VLOOKUP($B906,DG!A:D,DG!$D$2,)</f>
        <v>mét</v>
      </c>
      <c r="G906" s="359">
        <f t="shared" si="58"/>
        <v>0</v>
      </c>
      <c r="H906" s="360">
        <f t="shared" si="57"/>
        <v>0</v>
      </c>
      <c r="I906" s="360">
        <f>H906+J906-K906</f>
        <v>0</v>
      </c>
      <c r="J906" s="360"/>
      <c r="K906" s="360"/>
      <c r="L906" s="360"/>
      <c r="M906" s="332"/>
      <c r="N906" s="340"/>
      <c r="O906" s="341"/>
    </row>
    <row r="907" spans="1:15" ht="16.2">
      <c r="A907" s="288"/>
      <c r="B907" s="351" t="s">
        <v>945</v>
      </c>
      <c r="C907" s="388" t="str">
        <f>IF(OR(I907&lt;&gt;0,H907&lt;&gt;0),"x"," ")</f>
        <v xml:space="preserve"> </v>
      </c>
      <c r="D907" s="410">
        <f>[3]pp_NC!D195</f>
        <v>0</v>
      </c>
      <c r="E907" s="358" t="str">
        <f>VLOOKUP($B907,DG!A:D,DG!$C$2,)</f>
        <v>Cáp 24KV A/XLPE/PVC 150mm2</v>
      </c>
      <c r="F907" s="338" t="str">
        <f>VLOOKUP($B907,DG!A:D,DG!$D$2,)</f>
        <v>mét</v>
      </c>
      <c r="G907" s="359">
        <f t="shared" si="58"/>
        <v>0</v>
      </c>
      <c r="H907" s="360">
        <f t="shared" si="57"/>
        <v>0</v>
      </c>
      <c r="I907" s="360">
        <f>H907+J907-K907</f>
        <v>0</v>
      </c>
      <c r="J907" s="360"/>
      <c r="K907" s="360"/>
      <c r="L907" s="360"/>
      <c r="M907" s="332"/>
      <c r="N907" s="340"/>
      <c r="O907" s="341"/>
    </row>
    <row r="908" spans="1:15" ht="16.2">
      <c r="A908" s="288"/>
      <c r="B908" s="351" t="s">
        <v>946</v>
      </c>
      <c r="C908" s="388" t="str">
        <f>IF(OR(I908&lt;&gt;0,H908&lt;&gt;0),"x"," ")</f>
        <v xml:space="preserve"> </v>
      </c>
      <c r="D908" s="410">
        <f>[3]pp_NC!D196</f>
        <v>0</v>
      </c>
      <c r="E908" s="358" t="str">
        <f>VLOOKUP($B908,DG!A:D,DG!$C$2,)</f>
        <v>Cáp 24KV A/XLPE/PVC 120mm2</v>
      </c>
      <c r="F908" s="338" t="str">
        <f>VLOOKUP($B908,DG!A:D,DG!$D$2,)</f>
        <v>mét</v>
      </c>
      <c r="G908" s="359">
        <f t="shared" si="58"/>
        <v>0</v>
      </c>
      <c r="H908" s="360">
        <f t="shared" si="57"/>
        <v>0</v>
      </c>
      <c r="I908" s="360">
        <f>H908+J908-K908</f>
        <v>0</v>
      </c>
      <c r="J908" s="360"/>
      <c r="K908" s="360"/>
      <c r="L908" s="360"/>
      <c r="M908" s="332"/>
      <c r="N908" s="340"/>
      <c r="O908" s="341"/>
    </row>
    <row r="909" spans="1:15" ht="16.2">
      <c r="A909" s="288"/>
      <c r="B909" s="351" t="s">
        <v>947</v>
      </c>
      <c r="C909" s="388" t="str">
        <f>IF(OR(I909&lt;&gt;0,H909&lt;&gt;0),"x"," ")</f>
        <v xml:space="preserve"> </v>
      </c>
      <c r="D909" s="410">
        <f>[3]pp_NC!D197</f>
        <v>0</v>
      </c>
      <c r="E909" s="358" t="str">
        <f>VLOOKUP($B909,DG!A:D,DG!$C$2,)</f>
        <v>Cáp 24KV A/XLPE/PVC 95mm2</v>
      </c>
      <c r="F909" s="338" t="str">
        <f>VLOOKUP($B909,DG!A:D,DG!$D$2,)</f>
        <v>mét</v>
      </c>
      <c r="G909" s="359">
        <f t="shared" si="58"/>
        <v>0</v>
      </c>
      <c r="H909" s="360">
        <f t="shared" si="57"/>
        <v>0</v>
      </c>
      <c r="I909" s="360">
        <f>H909+J909-K909</f>
        <v>0</v>
      </c>
      <c r="J909" s="360"/>
      <c r="K909" s="360"/>
      <c r="L909" s="360"/>
      <c r="M909" s="332"/>
      <c r="N909" s="340"/>
      <c r="O909" s="341"/>
    </row>
    <row r="910" spans="1:15" ht="16.2">
      <c r="A910" s="288"/>
      <c r="B910" s="351" t="s">
        <v>948</v>
      </c>
      <c r="C910" s="388" t="str">
        <f>IF(OR(I910&lt;&gt;0,H910&lt;&gt;0),"x"," ")</f>
        <v xml:space="preserve"> </v>
      </c>
      <c r="D910" s="410">
        <f>[3]pp_NC!D198</f>
        <v>0</v>
      </c>
      <c r="E910" s="358" t="str">
        <f>VLOOKUP($B910,DG!A:D,DG!$C$2,)</f>
        <v>Cáp 24KV A/XLPE/PVC 70mm2</v>
      </c>
      <c r="F910" s="338" t="str">
        <f>VLOOKUP($B910,DG!A:D,DG!$D$2,)</f>
        <v>mét</v>
      </c>
      <c r="G910" s="359">
        <f t="shared" si="58"/>
        <v>0</v>
      </c>
      <c r="H910" s="360">
        <f t="shared" si="57"/>
        <v>0</v>
      </c>
      <c r="I910" s="360">
        <f>H910+J910-K910</f>
        <v>0</v>
      </c>
      <c r="J910" s="360"/>
      <c r="K910" s="360"/>
      <c r="L910" s="360"/>
      <c r="M910" s="332"/>
      <c r="N910" s="340"/>
      <c r="O910" s="341"/>
    </row>
    <row r="911" spans="1:15" ht="16.2">
      <c r="A911" s="288"/>
      <c r="B911" s="411" t="s">
        <v>949</v>
      </c>
      <c r="C911" s="388" t="str">
        <f>IF(OR(I911&lt;&gt;0,H911&lt;&gt;0),"x"," ")</f>
        <v>x</v>
      </c>
      <c r="D911" s="338"/>
      <c r="E911" s="412" t="s">
        <v>950</v>
      </c>
      <c r="F911" s="593" t="s">
        <v>775</v>
      </c>
      <c r="G911" s="349">
        <f>[3]pp_NC!DK184</f>
        <v>0</v>
      </c>
      <c r="H911" s="349">
        <f>IFERROR(HLOOKUP(B911,'BKT-ThuHoi'!$5:$183,179,0),0)</f>
        <v>86</v>
      </c>
      <c r="I911" s="350">
        <f>H911+J911-K911</f>
        <v>86</v>
      </c>
      <c r="J911" s="350"/>
      <c r="K911" s="350"/>
      <c r="L911" s="348"/>
      <c r="M911" s="332"/>
      <c r="N911" s="340"/>
      <c r="O911" s="341"/>
    </row>
    <row r="912" spans="1:15" ht="16.2">
      <c r="A912" s="288"/>
      <c r="B912" s="351" t="s">
        <v>951</v>
      </c>
      <c r="C912" s="388" t="str">
        <f>IF(OR(I912&lt;&gt;0,H912&lt;&gt;0),"x"," ")</f>
        <v>x</v>
      </c>
      <c r="D912" s="338"/>
      <c r="E912" s="358" t="str">
        <f>VLOOKUP($B912,DG!A:D,DG!$C$2,)</f>
        <v>Uclevis</v>
      </c>
      <c r="F912" s="338" t="str">
        <f>VLOOKUP($B912,DG!A:D,DG!$D$2,)</f>
        <v>bộ</v>
      </c>
      <c r="G912" s="359">
        <v>1</v>
      </c>
      <c r="H912" s="360">
        <f t="shared" si="57"/>
        <v>1</v>
      </c>
      <c r="I912" s="360">
        <f>H912+J912-K912</f>
        <v>1</v>
      </c>
      <c r="J912" s="360"/>
      <c r="K912" s="360"/>
      <c r="L912" s="360"/>
      <c r="M912" s="332"/>
      <c r="N912" s="340"/>
      <c r="O912" s="341"/>
    </row>
    <row r="913" spans="1:15" ht="16.2">
      <c r="A913" s="288"/>
      <c r="B913" s="351" t="s">
        <v>1948</v>
      </c>
      <c r="C913" s="388" t="str">
        <f>IF(OR(I913&lt;&gt;0,H913&lt;&gt;0),"x"," ")</f>
        <v>x</v>
      </c>
      <c r="D913" s="338"/>
      <c r="E913" s="358" t="str">
        <f>VLOOKUP($B913,DG!A:D,DG!$C$2,)</f>
        <v xml:space="preserve">Sứ ống chỉ </v>
      </c>
      <c r="F913" s="338" t="str">
        <f>VLOOKUP($B913,DG!A:D,DG!$D$2,)</f>
        <v>cái</v>
      </c>
      <c r="G913" s="359">
        <v>1</v>
      </c>
      <c r="H913" s="360">
        <f t="shared" si="57"/>
        <v>1</v>
      </c>
      <c r="I913" s="360">
        <f>H913+J913-K913</f>
        <v>1</v>
      </c>
      <c r="J913" s="360"/>
      <c r="K913" s="360"/>
      <c r="L913" s="360"/>
      <c r="M913" s="332"/>
      <c r="N913" s="340"/>
      <c r="O913" s="341"/>
    </row>
    <row r="914" spans="1:15" ht="16.2">
      <c r="A914" s="288"/>
      <c r="B914" s="351" t="s">
        <v>717</v>
      </c>
      <c r="C914" s="388" t="str">
        <f>IF(OR(I914&lt;&gt;0,H914&lt;&gt;0),"x"," ")</f>
        <v>x</v>
      </c>
      <c r="D914" s="338"/>
      <c r="E914" s="358" t="str">
        <f>VLOOKUP($B914,DG!A:D,DG!$C$2,)</f>
        <v>Boulon 16x300</v>
      </c>
      <c r="F914" s="338" t="str">
        <f>VLOOKUP($B914,DG!A:D,DG!$D$2,)</f>
        <v>bộ</v>
      </c>
      <c r="G914" s="359">
        <v>1</v>
      </c>
      <c r="H914" s="360">
        <f t="shared" si="57"/>
        <v>1</v>
      </c>
      <c r="I914" s="360">
        <f>H914+J914-K914</f>
        <v>1</v>
      </c>
      <c r="J914" s="360"/>
      <c r="K914" s="360"/>
      <c r="L914" s="360"/>
      <c r="M914" s="332"/>
      <c r="N914" s="340"/>
      <c r="O914" s="341"/>
    </row>
    <row r="915" spans="1:15" ht="16.2">
      <c r="A915" s="288"/>
      <c r="B915" s="411" t="s">
        <v>952</v>
      </c>
      <c r="C915" s="388" t="str">
        <f>IF(OR(I915&lt;&gt;0,H915&lt;&gt;0),"x"," ")</f>
        <v xml:space="preserve"> </v>
      </c>
      <c r="D915" s="338"/>
      <c r="E915" s="412" t="s">
        <v>953</v>
      </c>
      <c r="F915" s="593" t="s">
        <v>775</v>
      </c>
      <c r="G915" s="349">
        <f>[3]pp_NC!DM184</f>
        <v>0</v>
      </c>
      <c r="H915" s="349">
        <f>IFERROR(HLOOKUP(B915,'BKT-ThuHoi'!$5:$183,179,0),0)</f>
        <v>0</v>
      </c>
      <c r="I915" s="350">
        <f>H915+J915-K915</f>
        <v>0</v>
      </c>
      <c r="J915" s="350"/>
      <c r="K915" s="350"/>
      <c r="L915" s="348"/>
      <c r="M915" s="332"/>
      <c r="N915" s="340"/>
      <c r="O915" s="341"/>
    </row>
    <row r="916" spans="1:15" ht="16.2">
      <c r="A916" s="288"/>
      <c r="B916" s="351" t="s">
        <v>951</v>
      </c>
      <c r="C916" s="388" t="str">
        <f>IF(OR(I916&lt;&gt;0,H916&lt;&gt;0),"x"," ")</f>
        <v xml:space="preserve"> </v>
      </c>
      <c r="D916" s="338"/>
      <c r="E916" s="358" t="str">
        <f>VLOOKUP($B916,DG!A:D,DG!$C$2,)</f>
        <v>Uclevis</v>
      </c>
      <c r="F916" s="594" t="str">
        <f>VLOOKUP($B916,DG!A:D,DG!$D$2,)</f>
        <v>bộ</v>
      </c>
      <c r="G916" s="595">
        <f>G915</f>
        <v>0</v>
      </c>
      <c r="H916" s="355">
        <f t="shared" si="57"/>
        <v>0</v>
      </c>
      <c r="I916" s="355">
        <f>H916+J916-K916</f>
        <v>0</v>
      </c>
      <c r="J916" s="355"/>
      <c r="K916" s="355"/>
      <c r="L916" s="367"/>
      <c r="M916" s="332"/>
      <c r="N916" s="340"/>
      <c r="O916" s="341"/>
    </row>
    <row r="917" spans="1:15" ht="16.2">
      <c r="A917" s="288"/>
      <c r="B917" s="351" t="s">
        <v>717</v>
      </c>
      <c r="C917" s="388" t="str">
        <f>IF(OR(I917&lt;&gt;0,H917&lt;&gt;0),"x"," ")</f>
        <v xml:space="preserve"> </v>
      </c>
      <c r="D917" s="338"/>
      <c r="E917" s="358" t="str">
        <f>VLOOKUP($B917,DG!A:D,DG!$C$2,)</f>
        <v>Boulon 16x300</v>
      </c>
      <c r="F917" s="594" t="str">
        <f>VLOOKUP($B917,DG!A:D,DG!$D$2,)</f>
        <v>bộ</v>
      </c>
      <c r="G917" s="595">
        <f>G915</f>
        <v>0</v>
      </c>
      <c r="H917" s="355">
        <f t="shared" si="57"/>
        <v>0</v>
      </c>
      <c r="I917" s="355">
        <f>H917+J917-K917</f>
        <v>0</v>
      </c>
      <c r="J917" s="355"/>
      <c r="K917" s="355"/>
      <c r="L917" s="367"/>
      <c r="M917" s="332"/>
      <c r="N917" s="340"/>
      <c r="O917" s="341"/>
    </row>
    <row r="918" spans="1:15" ht="16.2">
      <c r="A918" s="288"/>
      <c r="B918" s="351" t="s">
        <v>954</v>
      </c>
      <c r="C918" s="388" t="str">
        <f>IF(OR(I918&lt;&gt;0,H918&lt;&gt;0),"x"," ")</f>
        <v xml:space="preserve"> </v>
      </c>
      <c r="D918" s="338"/>
      <c r="E918" s="358" t="str">
        <f>VLOOKUP($B918,DG!A:D,DG!$C$2,)</f>
        <v>Kẹp 2 rãnh (APC) cỡ dây 50mm2</v>
      </c>
      <c r="F918" s="594" t="str">
        <f>VLOOKUP($B918,DG!A:D,DG!$D$2,)</f>
        <v>cái</v>
      </c>
      <c r="G918" s="595">
        <f>G915*3</f>
        <v>0</v>
      </c>
      <c r="H918" s="355">
        <f t="shared" si="57"/>
        <v>0</v>
      </c>
      <c r="I918" s="355">
        <f>H918+J918-K918</f>
        <v>0</v>
      </c>
      <c r="J918" s="355"/>
      <c r="K918" s="355"/>
      <c r="L918" s="367"/>
      <c r="M918" s="332"/>
      <c r="N918" s="340"/>
      <c r="O918" s="341"/>
    </row>
    <row r="919" spans="1:15" ht="16.2">
      <c r="A919" s="288"/>
      <c r="B919" s="411" t="s">
        <v>955</v>
      </c>
      <c r="C919" s="388" t="str">
        <f>IF(OR(I919&lt;&gt;0,H919&lt;&gt;0),"x"," ")</f>
        <v xml:space="preserve"> </v>
      </c>
      <c r="D919" s="338"/>
      <c r="E919" s="412" t="s">
        <v>956</v>
      </c>
      <c r="F919" s="593" t="s">
        <v>775</v>
      </c>
      <c r="G919" s="349">
        <f>[3]pp_NC!DN184</f>
        <v>0</v>
      </c>
      <c r="H919" s="349">
        <f>IFERROR(HLOOKUP(B919,'BKT-ThuHoi'!$5:$183,179,0),0)</f>
        <v>0</v>
      </c>
      <c r="I919" s="350">
        <f>H919+J919-K919</f>
        <v>0</v>
      </c>
      <c r="J919" s="350"/>
      <c r="K919" s="350"/>
      <c r="L919" s="348"/>
      <c r="M919" s="332"/>
      <c r="N919" s="340"/>
      <c r="O919" s="341"/>
    </row>
    <row r="920" spans="1:15" ht="16.2">
      <c r="A920" s="288"/>
      <c r="B920" s="413" t="s">
        <v>957</v>
      </c>
      <c r="C920" s="388" t="str">
        <f>IF(OR(I920&lt;&gt;0,H920&lt;&gt;0),"x"," ")</f>
        <v xml:space="preserve"> </v>
      </c>
      <c r="D920" s="338"/>
      <c r="E920" s="358" t="str">
        <f>VLOOKUP($B920,DG!A:D,DG!$C$2,)</f>
        <v>Khóa néo dây cỡ dây 50</v>
      </c>
      <c r="F920" s="594" t="str">
        <f>VLOOKUP($B920,DG!A:D,DG!$D$2,)</f>
        <v>cái</v>
      </c>
      <c r="G920" s="595">
        <f>G919</f>
        <v>0</v>
      </c>
      <c r="H920" s="355">
        <f t="shared" si="57"/>
        <v>0</v>
      </c>
      <c r="I920" s="355">
        <f>H920+J920-K920</f>
        <v>0</v>
      </c>
      <c r="J920" s="355"/>
      <c r="K920" s="355"/>
      <c r="L920" s="367"/>
      <c r="M920" s="332"/>
      <c r="N920" s="340"/>
      <c r="O920" s="341"/>
    </row>
    <row r="921" spans="1:15" ht="16.2">
      <c r="A921" s="288"/>
      <c r="B921" s="351" t="s">
        <v>958</v>
      </c>
      <c r="C921" s="388" t="str">
        <f>IF(OR(I921&lt;&gt;0,H921&lt;&gt;0),"x"," ")</f>
        <v xml:space="preserve"> </v>
      </c>
      <c r="D921" s="338"/>
      <c r="E921" s="358" t="str">
        <f>VLOOKUP($B921,DG!A:D,DG!$C$2,)</f>
        <v xml:space="preserve">Móc treo chữ U </v>
      </c>
      <c r="F921" s="594" t="str">
        <f>VLOOKUP($B921,DG!A:D,DG!$D$2,)</f>
        <v>cái</v>
      </c>
      <c r="G921" s="595">
        <f>G919*2</f>
        <v>0</v>
      </c>
      <c r="H921" s="355">
        <f t="shared" si="57"/>
        <v>0</v>
      </c>
      <c r="I921" s="355">
        <f>H921+J921-K921</f>
        <v>0</v>
      </c>
      <c r="J921" s="355"/>
      <c r="K921" s="355"/>
      <c r="L921" s="367"/>
      <c r="M921" s="332"/>
      <c r="N921" s="340"/>
      <c r="O921" s="341"/>
    </row>
    <row r="922" spans="1:15" ht="16.2">
      <c r="A922" s="288"/>
      <c r="B922" s="351" t="s">
        <v>840</v>
      </c>
      <c r="C922" s="388" t="str">
        <f>IF(OR(I922&lt;&gt;0,H922&lt;&gt;0),"x"," ")</f>
        <v xml:space="preserve"> </v>
      </c>
      <c r="D922" s="338"/>
      <c r="E922" s="358" t="str">
        <f>VLOOKUP($B922,DG!A:D,DG!$C$2,)</f>
        <v>Boulon mắt 16x300</v>
      </c>
      <c r="F922" s="594" t="str">
        <f>VLOOKUP($B922,DG!A:D,DG!$D$2,)</f>
        <v>bộ</v>
      </c>
      <c r="G922" s="595">
        <f>G920</f>
        <v>0</v>
      </c>
      <c r="H922" s="355">
        <f t="shared" si="57"/>
        <v>0</v>
      </c>
      <c r="I922" s="355">
        <f>H922+J922-K922</f>
        <v>0</v>
      </c>
      <c r="J922" s="355"/>
      <c r="K922" s="355"/>
      <c r="L922" s="367"/>
      <c r="M922" s="332"/>
      <c r="N922" s="340"/>
      <c r="O922" s="341"/>
    </row>
    <row r="923" spans="1:15" ht="16.2">
      <c r="A923" s="288"/>
      <c r="B923" s="351" t="s">
        <v>624</v>
      </c>
      <c r="C923" s="388" t="str">
        <f>IF(OR(I923&lt;&gt;0,H923&lt;&gt;0),"x"," ")</f>
        <v xml:space="preserve"> </v>
      </c>
      <c r="D923" s="338"/>
      <c r="E923" s="358" t="str">
        <f>VLOOKUP($B923,DG!A:D,DG!$C$2,)</f>
        <v>Kẹp ép WR cỡ dây 50mm2</v>
      </c>
      <c r="F923" s="594" t="str">
        <f>VLOOKUP($B923,DG!A:D,DG!$D$2,)</f>
        <v>cái</v>
      </c>
      <c r="G923" s="595">
        <f>G919</f>
        <v>0</v>
      </c>
      <c r="H923" s="355">
        <f t="shared" si="57"/>
        <v>0</v>
      </c>
      <c r="I923" s="355">
        <f>H923+J923-K923</f>
        <v>0</v>
      </c>
      <c r="J923" s="355"/>
      <c r="K923" s="355"/>
      <c r="L923" s="367"/>
      <c r="M923" s="332"/>
      <c r="N923" s="340"/>
      <c r="O923" s="341"/>
    </row>
    <row r="924" spans="1:15" ht="16.2">
      <c r="A924" s="288"/>
      <c r="B924" s="411" t="s">
        <v>959</v>
      </c>
      <c r="C924" s="388" t="str">
        <f>IF(OR(I924&lt;&gt;0,H924&lt;&gt;0),"x"," ")</f>
        <v xml:space="preserve"> </v>
      </c>
      <c r="D924" s="338"/>
      <c r="E924" s="412" t="s">
        <v>960</v>
      </c>
      <c r="F924" s="593" t="s">
        <v>775</v>
      </c>
      <c r="G924" s="349">
        <f>[3]pp_NC!DO95</f>
        <v>0</v>
      </c>
      <c r="H924" s="349">
        <f>IFERROR(HLOOKUP(B924,'BKT-ThuHoi'!$5:$183,179,0),0)</f>
        <v>0</v>
      </c>
      <c r="I924" s="350">
        <f>H924+J924-K924</f>
        <v>0</v>
      </c>
      <c r="J924" s="350"/>
      <c r="K924" s="350"/>
      <c r="L924" s="348"/>
      <c r="M924" s="332"/>
      <c r="N924" s="340"/>
      <c r="O924" s="341"/>
    </row>
    <row r="925" spans="1:15" ht="16.2">
      <c r="A925" s="288"/>
      <c r="B925" s="413" t="s">
        <v>957</v>
      </c>
      <c r="C925" s="388" t="str">
        <f>IF(OR(I925&lt;&gt;0,H925&lt;&gt;0),"x"," ")</f>
        <v xml:space="preserve"> </v>
      </c>
      <c r="D925" s="338"/>
      <c r="E925" s="358" t="str">
        <f>VLOOKUP($B925,DG!A:D,DG!$C$2,)</f>
        <v>Khóa néo dây cỡ dây 50</v>
      </c>
      <c r="F925" s="594" t="str">
        <f>VLOOKUP($B925,DG!A:D,DG!$D$2,)</f>
        <v>cái</v>
      </c>
      <c r="G925" s="595">
        <f>G924</f>
        <v>0</v>
      </c>
      <c r="H925" s="355">
        <f t="shared" si="57"/>
        <v>0</v>
      </c>
      <c r="I925" s="355">
        <f>H925+J925-K925</f>
        <v>0</v>
      </c>
      <c r="J925" s="355"/>
      <c r="K925" s="355"/>
      <c r="L925" s="367"/>
      <c r="M925" s="332"/>
      <c r="N925" s="340"/>
      <c r="O925" s="341"/>
    </row>
    <row r="926" spans="1:15" ht="16.2">
      <c r="A926" s="288"/>
      <c r="B926" s="351" t="s">
        <v>958</v>
      </c>
      <c r="C926" s="388" t="str">
        <f>IF(OR(I926&lt;&gt;0,H926&lt;&gt;0),"x"," ")</f>
        <v xml:space="preserve"> </v>
      </c>
      <c r="D926" s="338"/>
      <c r="E926" s="358" t="str">
        <f>VLOOKUP($B926,DG!A:D,DG!$C$2,)</f>
        <v xml:space="preserve">Móc treo chữ U </v>
      </c>
      <c r="F926" s="594" t="str">
        <f>VLOOKUP($B926,DG!A:D,DG!$D$2,)</f>
        <v>cái</v>
      </c>
      <c r="G926" s="595">
        <f>G924*2</f>
        <v>0</v>
      </c>
      <c r="H926" s="355">
        <f t="shared" si="57"/>
        <v>0</v>
      </c>
      <c r="I926" s="355">
        <f>H926+J926-K926</f>
        <v>0</v>
      </c>
      <c r="J926" s="355"/>
      <c r="K926" s="355"/>
      <c r="L926" s="367"/>
      <c r="M926" s="332"/>
      <c r="N926" s="340"/>
      <c r="O926" s="341"/>
    </row>
    <row r="927" spans="1:15" ht="16.2">
      <c r="A927" s="288"/>
      <c r="B927" s="351" t="s">
        <v>624</v>
      </c>
      <c r="C927" s="388" t="str">
        <f>IF(OR(I927&lt;&gt;0,H927&lt;&gt;0),"x"," ")</f>
        <v xml:space="preserve"> </v>
      </c>
      <c r="D927" s="338"/>
      <c r="E927" s="358" t="str">
        <f>VLOOKUP($B927,DG!A:D,DG!$C$2,)</f>
        <v>Kẹp ép WR cỡ dây 50mm2</v>
      </c>
      <c r="F927" s="594" t="str">
        <f>VLOOKUP($B927,DG!A:D,DG!$D$2,)</f>
        <v>cái</v>
      </c>
      <c r="G927" s="595">
        <f>G924*2</f>
        <v>0</v>
      </c>
      <c r="H927" s="355">
        <f t="shared" si="57"/>
        <v>0</v>
      </c>
      <c r="I927" s="355">
        <f>H927+J927-K927</f>
        <v>0</v>
      </c>
      <c r="J927" s="355"/>
      <c r="K927" s="355"/>
      <c r="L927" s="367"/>
      <c r="M927" s="332"/>
      <c r="N927" s="340"/>
      <c r="O927" s="341"/>
    </row>
    <row r="928" spans="1:15" ht="16.2">
      <c r="A928" s="384"/>
      <c r="B928" s="414" t="s">
        <v>961</v>
      </c>
      <c r="C928" s="388" t="str">
        <f>IF(OR(I928&lt;&gt;0,H928&lt;&gt;0),"x"," ")</f>
        <v>x</v>
      </c>
      <c r="D928" s="338"/>
      <c r="E928" s="412" t="s">
        <v>962</v>
      </c>
      <c r="F928" s="593" t="s">
        <v>775</v>
      </c>
      <c r="G928" s="349">
        <f>[3]pp_NC!DH184</f>
        <v>0</v>
      </c>
      <c r="H928" s="349">
        <f>IFERROR(HLOOKUP(B928,'BKT-ThuHoi'!$5:$183,179,0),0)</f>
        <v>193</v>
      </c>
      <c r="I928" s="350">
        <f>H928+J928-K928</f>
        <v>193</v>
      </c>
      <c r="J928" s="350"/>
      <c r="K928" s="350"/>
      <c r="L928" s="348"/>
      <c r="M928" s="339"/>
      <c r="N928" s="340"/>
      <c r="O928" s="341"/>
    </row>
    <row r="929" spans="1:15" ht="16.2">
      <c r="A929" s="384"/>
      <c r="B929" s="336" t="s">
        <v>963</v>
      </c>
      <c r="C929" s="388" t="str">
        <f>IF(OR(I929&lt;&gt;0,H929&lt;&gt;0),"x"," ")</f>
        <v xml:space="preserve"> </v>
      </c>
      <c r="D929" s="338"/>
      <c r="E929" s="358" t="str">
        <f>VLOOKUP($B929,DG!A:D,DG!$C$2,)</f>
        <v xml:space="preserve">Sứ đứng 24KV </v>
      </c>
      <c r="F929" s="594" t="str">
        <f>VLOOKUP($B929,DG!A:D,DG!$D$2,)</f>
        <v>cái</v>
      </c>
      <c r="G929" s="595">
        <f>G928</f>
        <v>0</v>
      </c>
      <c r="H929" s="355">
        <f t="shared" si="57"/>
        <v>0</v>
      </c>
      <c r="I929" s="355">
        <f>H929+J929-K929</f>
        <v>0</v>
      </c>
      <c r="J929" s="355"/>
      <c r="K929" s="355"/>
      <c r="L929" s="367"/>
      <c r="M929" s="339"/>
      <c r="N929" s="340"/>
      <c r="O929" s="341"/>
    </row>
    <row r="930" spans="1:15" ht="16.2">
      <c r="A930" s="384"/>
      <c r="B930" s="336" t="s">
        <v>964</v>
      </c>
      <c r="C930" s="388" t="str">
        <f>IF(OR(I930&lt;&gt;0,H930&lt;&gt;0),"x"," ")</f>
        <v xml:space="preserve"> </v>
      </c>
      <c r="D930" s="338"/>
      <c r="E930" s="358" t="str">
        <f>VLOOKUP($B930,DG!A:D,DG!$C$2,)</f>
        <v>Chân sứ đứng D20</v>
      </c>
      <c r="F930" s="594" t="str">
        <f>VLOOKUP($B930,DG!A:D,DG!$D$2,)</f>
        <v>cái</v>
      </c>
      <c r="G930" s="595">
        <f>G928</f>
        <v>0</v>
      </c>
      <c r="H930" s="355">
        <f t="shared" si="57"/>
        <v>0</v>
      </c>
      <c r="I930" s="355">
        <f>H930+J930-K930</f>
        <v>0</v>
      </c>
      <c r="J930" s="355"/>
      <c r="K930" s="355"/>
      <c r="L930" s="367"/>
      <c r="M930" s="339"/>
      <c r="N930" s="340"/>
      <c r="O930" s="341"/>
    </row>
    <row r="931" spans="1:15" ht="16.2">
      <c r="A931" s="288"/>
      <c r="B931" s="411" t="s">
        <v>965</v>
      </c>
      <c r="C931" s="388" t="str">
        <f>IF(OR(I931&lt;&gt;0,H931&lt;&gt;0),"x"," ")</f>
        <v xml:space="preserve"> </v>
      </c>
      <c r="D931" s="338"/>
      <c r="E931" s="412" t="s">
        <v>966</v>
      </c>
      <c r="F931" s="593" t="s">
        <v>775</v>
      </c>
      <c r="G931" s="349">
        <f>[3]pp_NC!DF184</f>
        <v>0</v>
      </c>
      <c r="H931" s="349">
        <f>IFERROR(HLOOKUP(B931,'BKT-ThuHoi'!$5:$183,179,0),0)</f>
        <v>0</v>
      </c>
      <c r="I931" s="350">
        <f>H931+J931-K931</f>
        <v>0</v>
      </c>
      <c r="J931" s="350"/>
      <c r="K931" s="350"/>
      <c r="L931" s="348"/>
      <c r="M931" s="332"/>
      <c r="N931" s="340"/>
      <c r="O931" s="341"/>
    </row>
    <row r="932" spans="1:15" ht="16.2">
      <c r="A932" s="288"/>
      <c r="B932" s="351" t="s">
        <v>963</v>
      </c>
      <c r="C932" s="388" t="str">
        <f>IF(OR(I932&lt;&gt;0,H932&lt;&gt;0),"x"," ")</f>
        <v xml:space="preserve"> </v>
      </c>
      <c r="D932" s="338"/>
      <c r="E932" s="358" t="str">
        <f>VLOOKUP($B932,DG!A:D,DG!$C$2,)</f>
        <v xml:space="preserve">Sứ đứng 24KV </v>
      </c>
      <c r="F932" s="594" t="str">
        <f>VLOOKUP($B932,DG!A:D,DG!$D$2,)</f>
        <v>cái</v>
      </c>
      <c r="G932" s="595">
        <f>G931</f>
        <v>0</v>
      </c>
      <c r="H932" s="355">
        <f t="shared" si="57"/>
        <v>0</v>
      </c>
      <c r="I932" s="355">
        <f>H932+J932-K932</f>
        <v>0</v>
      </c>
      <c r="J932" s="355"/>
      <c r="K932" s="355"/>
      <c r="L932" s="367"/>
      <c r="M932" s="332"/>
      <c r="N932" s="340"/>
      <c r="O932" s="341"/>
    </row>
    <row r="933" spans="1:15" ht="16.2">
      <c r="A933" s="288"/>
      <c r="B933" s="351" t="s">
        <v>706</v>
      </c>
      <c r="C933" s="388" t="str">
        <f>IF(OR(I933&lt;&gt;0,H933&lt;&gt;0),"x"," ")</f>
        <v xml:space="preserve"> </v>
      </c>
      <c r="D933" s="338"/>
      <c r="E933" s="358" t="str">
        <f>VLOOKUP($B933,DG!A:D,DG!$C$2,)</f>
        <v>Chân sứ đỉnh thẳng dài 870mm</v>
      </c>
      <c r="F933" s="594" t="str">
        <f>VLOOKUP($B933,DG!A:D,DG!$D$2,)</f>
        <v>cái</v>
      </c>
      <c r="G933" s="595">
        <f>G931</f>
        <v>0</v>
      </c>
      <c r="H933" s="355">
        <f t="shared" si="57"/>
        <v>0</v>
      </c>
      <c r="I933" s="355">
        <f>H933+J933-K933</f>
        <v>0</v>
      </c>
      <c r="J933" s="355"/>
      <c r="K933" s="355"/>
      <c r="L933" s="367"/>
      <c r="M933" s="332"/>
      <c r="N933" s="340"/>
      <c r="O933" s="341"/>
    </row>
    <row r="934" spans="1:15" ht="16.2">
      <c r="A934" s="288"/>
      <c r="B934" s="351" t="s">
        <v>717</v>
      </c>
      <c r="C934" s="388" t="str">
        <f>IF(OR(I934&lt;&gt;0,H934&lt;&gt;0),"x"," ")</f>
        <v xml:space="preserve"> </v>
      </c>
      <c r="D934" s="338"/>
      <c r="E934" s="358" t="str">
        <f>VLOOKUP($B934,DG!A:D,DG!$C$2,)</f>
        <v>Boulon 16x300</v>
      </c>
      <c r="F934" s="594" t="str">
        <f>VLOOKUP($B934,DG!A:D,DG!$D$2,)</f>
        <v>bộ</v>
      </c>
      <c r="G934" s="595">
        <f>G931*2</f>
        <v>0</v>
      </c>
      <c r="H934" s="355">
        <f t="shared" si="57"/>
        <v>0</v>
      </c>
      <c r="I934" s="355">
        <f>H934+J934-K934</f>
        <v>0</v>
      </c>
      <c r="J934" s="355"/>
      <c r="K934" s="355"/>
      <c r="L934" s="367"/>
      <c r="M934" s="332"/>
      <c r="N934" s="340"/>
      <c r="O934" s="341"/>
    </row>
    <row r="935" spans="1:15" ht="16.2">
      <c r="A935" s="361"/>
      <c r="B935" s="415" t="s">
        <v>967</v>
      </c>
      <c r="C935" s="388" t="str">
        <f>IF(OR(I935&lt;&gt;0,H935&lt;&gt;0),"x"," ")</f>
        <v xml:space="preserve"> </v>
      </c>
      <c r="D935" s="363"/>
      <c r="E935" s="412" t="s">
        <v>968</v>
      </c>
      <c r="F935" s="593" t="s">
        <v>775</v>
      </c>
      <c r="G935" s="349">
        <f>[3]pp_NC!DG184</f>
        <v>0</v>
      </c>
      <c r="H935" s="349">
        <f>IFERROR(HLOOKUP(B935,'BKT-ThuHoi'!$5:$183,179,0),0)</f>
        <v>0</v>
      </c>
      <c r="I935" s="350">
        <f>H935+J935-K935</f>
        <v>0</v>
      </c>
      <c r="J935" s="350"/>
      <c r="K935" s="350"/>
      <c r="L935" s="348"/>
      <c r="M935" s="332"/>
      <c r="N935" s="340"/>
      <c r="O935" s="341"/>
    </row>
    <row r="936" spans="1:15" ht="16.2">
      <c r="A936" s="361"/>
      <c r="B936" s="351" t="s">
        <v>963</v>
      </c>
      <c r="C936" s="388" t="str">
        <f>IF(OR(I936&lt;&gt;0,H936&lt;&gt;0),"x"," ")</f>
        <v xml:space="preserve"> </v>
      </c>
      <c r="D936" s="363"/>
      <c r="E936" s="358" t="str">
        <f>VLOOKUP($B936,DG!A:D,DG!$C$2,)</f>
        <v xml:space="preserve">Sứ đứng 24KV </v>
      </c>
      <c r="F936" s="594" t="str">
        <f>VLOOKUP($B936,DG!A:D,DG!$D$2,)</f>
        <v>cái</v>
      </c>
      <c r="G936" s="595">
        <f>G935*2</f>
        <v>0</v>
      </c>
      <c r="H936" s="355">
        <f t="shared" si="57"/>
        <v>0</v>
      </c>
      <c r="I936" s="355">
        <f>H936+J936-K936</f>
        <v>0</v>
      </c>
      <c r="J936" s="355"/>
      <c r="K936" s="355"/>
      <c r="L936" s="367"/>
      <c r="M936" s="332"/>
      <c r="N936" s="340"/>
      <c r="O936" s="341"/>
    </row>
    <row r="937" spans="1:15" ht="16.2">
      <c r="A937" s="361"/>
      <c r="B937" s="351" t="s">
        <v>969</v>
      </c>
      <c r="C937" s="388" t="str">
        <f>IF(OR(I937&lt;&gt;0,H937&lt;&gt;0),"x"," ")</f>
        <v xml:space="preserve"> </v>
      </c>
      <c r="D937" s="363"/>
      <c r="E937" s="358" t="str">
        <f>VLOOKUP($B937,DG!A:D,DG!$C$2,)</f>
        <v>Chân sứ đỉnh đỡ góc dài 870mm</v>
      </c>
      <c r="F937" s="594" t="str">
        <f>VLOOKUP($B937,DG!A:D,DG!$D$2,)</f>
        <v>cái</v>
      </c>
      <c r="G937" s="595">
        <f>G935*2</f>
        <v>0</v>
      </c>
      <c r="H937" s="355">
        <f t="shared" si="57"/>
        <v>0</v>
      </c>
      <c r="I937" s="355">
        <f>H937+J937-K937</f>
        <v>0</v>
      </c>
      <c r="J937" s="355"/>
      <c r="K937" s="355"/>
      <c r="L937" s="367"/>
      <c r="M937" s="332"/>
      <c r="N937" s="340"/>
      <c r="O937" s="341"/>
    </row>
    <row r="938" spans="1:15" ht="16.2">
      <c r="A938" s="361"/>
      <c r="B938" s="351" t="s">
        <v>717</v>
      </c>
      <c r="C938" s="388" t="str">
        <f>IF(OR(I938&lt;&gt;0,H938&lt;&gt;0),"x"," ")</f>
        <v xml:space="preserve"> </v>
      </c>
      <c r="D938" s="363"/>
      <c r="E938" s="358" t="str">
        <f>VLOOKUP($B938,DG!A:D,DG!$C$2,)</f>
        <v>Boulon 16x300</v>
      </c>
      <c r="F938" s="594" t="str">
        <f>VLOOKUP($B938,DG!A:D,DG!$D$2,)</f>
        <v>bộ</v>
      </c>
      <c r="G938" s="595">
        <f>G935*2</f>
        <v>0</v>
      </c>
      <c r="H938" s="355">
        <f t="shared" si="57"/>
        <v>0</v>
      </c>
      <c r="I938" s="355">
        <f>H938+J938-K938</f>
        <v>0</v>
      </c>
      <c r="J938" s="355"/>
      <c r="K938" s="355"/>
      <c r="L938" s="367"/>
      <c r="M938" s="332"/>
      <c r="N938" s="340"/>
      <c r="O938" s="341"/>
    </row>
    <row r="939" spans="1:15" ht="16.2">
      <c r="A939" s="288"/>
      <c r="B939" s="411" t="s">
        <v>3893</v>
      </c>
      <c r="C939" s="388" t="str">
        <f>IF(OR(I939&lt;&gt;0,H939&lt;&gt;0),"x"," ")</f>
        <v>x</v>
      </c>
      <c r="D939" s="338"/>
      <c r="E939" s="412" t="s">
        <v>3894</v>
      </c>
      <c r="F939" s="593" t="s">
        <v>972</v>
      </c>
      <c r="G939" s="349"/>
      <c r="H939" s="349">
        <f>IFERROR(HLOOKUP(B939,'BKT-ThuHoi'!$5:$183,179,0),0)</f>
        <v>30</v>
      </c>
      <c r="I939" s="350">
        <f>H939+J939-K939</f>
        <v>30</v>
      </c>
      <c r="J939" s="350"/>
      <c r="K939" s="350"/>
      <c r="L939" s="348"/>
      <c r="M939" s="332"/>
      <c r="N939" s="340"/>
      <c r="O939" s="341"/>
    </row>
    <row r="940" spans="1:15" ht="16.2">
      <c r="A940" s="288"/>
      <c r="B940" s="351" t="s">
        <v>3892</v>
      </c>
      <c r="C940" s="388" t="str">
        <f>IF(OR(I940&lt;&gt;0,H940&lt;&gt;0),"x"," ")</f>
        <v>x</v>
      </c>
      <c r="D940" s="338"/>
      <c r="E940" s="358" t="str">
        <f>VLOOKUP($B940,DG!A:D,DG!$C$2,)</f>
        <v>Sứ treo thủy tinh</v>
      </c>
      <c r="F940" s="594" t="str">
        <f>VLOOKUP($B940,DG!A:D,DG!$D$2,)</f>
        <v>bát</v>
      </c>
      <c r="G940" s="595">
        <v>2</v>
      </c>
      <c r="H940" s="355">
        <f>H$939*G940</f>
        <v>60</v>
      </c>
      <c r="I940" s="355">
        <f>H940+J940-K940</f>
        <v>60</v>
      </c>
      <c r="J940" s="355"/>
      <c r="K940" s="355"/>
      <c r="L940" s="367"/>
      <c r="M940" s="332"/>
      <c r="N940" s="340"/>
      <c r="O940" s="341"/>
    </row>
    <row r="941" spans="1:15" ht="16.2">
      <c r="A941" s="288"/>
      <c r="B941" s="351" t="s">
        <v>958</v>
      </c>
      <c r="C941" s="388" t="str">
        <f>IF(OR(I941&lt;&gt;0,H941&lt;&gt;0),"x"," ")</f>
        <v>x</v>
      </c>
      <c r="D941" s="338"/>
      <c r="E941" s="358" t="str">
        <f>VLOOKUP($B941,DG!A:D,DG!$C$2,)</f>
        <v xml:space="preserve">Móc treo chữ U </v>
      </c>
      <c r="F941" s="594" t="str">
        <f>VLOOKUP($B941,DG!A:D,DG!$D$2,)</f>
        <v>cái</v>
      </c>
      <c r="G941" s="595">
        <v>1</v>
      </c>
      <c r="H941" s="355">
        <f t="shared" ref="H941:H944" si="59">H$939*G941</f>
        <v>30</v>
      </c>
      <c r="I941" s="355">
        <f>H941+J941-K941</f>
        <v>30</v>
      </c>
      <c r="J941" s="355"/>
      <c r="K941" s="355"/>
      <c r="L941" s="367"/>
      <c r="M941" s="332"/>
      <c r="N941" s="340"/>
      <c r="O941" s="341"/>
    </row>
    <row r="942" spans="1:15" ht="16.2">
      <c r="A942" s="288"/>
      <c r="B942" s="351" t="s">
        <v>3895</v>
      </c>
      <c r="C942" s="388" t="str">
        <f>IF(OR(I942&lt;&gt;0,H942&lt;&gt;0),"x"," ")</f>
        <v xml:space="preserve"> </v>
      </c>
      <c r="D942" s="338"/>
      <c r="E942" s="358" t="str">
        <f>VLOOKUP($B942,DG!A:D,DG!$C$2,)</f>
        <v>Lem yên ngựa</v>
      </c>
      <c r="F942" s="594" t="str">
        <f>VLOOKUP($B942,DG!A:D,DG!$D$2,)</f>
        <v>cái</v>
      </c>
      <c r="G942" s="595"/>
      <c r="H942" s="355">
        <f t="shared" si="59"/>
        <v>0</v>
      </c>
      <c r="I942" s="355">
        <f>H942+J942-K942</f>
        <v>0</v>
      </c>
      <c r="J942" s="355"/>
      <c r="K942" s="355"/>
      <c r="L942" s="367"/>
      <c r="M942" s="332"/>
      <c r="N942" s="340"/>
      <c r="O942" s="341"/>
    </row>
    <row r="943" spans="1:15" ht="16.2">
      <c r="A943" s="288"/>
      <c r="B943" s="351" t="s">
        <v>3896</v>
      </c>
      <c r="C943" s="388" t="str">
        <f>IF(OR(I943&lt;&gt;0,H943&lt;&gt;0),"x"," ")</f>
        <v>x</v>
      </c>
      <c r="D943" s="338"/>
      <c r="E943" s="358" t="str">
        <f>VLOOKUP($B943,DG!A:D,DG!$C$2,)</f>
        <v>Kẹo dừng 3 U</v>
      </c>
      <c r="F943" s="594" t="str">
        <f>VLOOKUP($B943,DG!A:D,DG!$D$2,)</f>
        <v>cái</v>
      </c>
      <c r="G943" s="595">
        <v>1</v>
      </c>
      <c r="H943" s="355">
        <f t="shared" si="59"/>
        <v>30</v>
      </c>
      <c r="I943" s="355">
        <f>H943+J943-K943</f>
        <v>30</v>
      </c>
      <c r="J943" s="355"/>
      <c r="K943" s="355"/>
      <c r="L943" s="367"/>
      <c r="M943" s="332"/>
      <c r="N943" s="340"/>
      <c r="O943" s="341"/>
    </row>
    <row r="944" spans="1:15" ht="16.2">
      <c r="A944" s="288"/>
      <c r="B944" s="351" t="s">
        <v>976</v>
      </c>
      <c r="C944" s="388" t="str">
        <f>IF(OR(I944&lt;&gt;0,H944&lt;&gt;0),"x"," ")</f>
        <v xml:space="preserve"> </v>
      </c>
      <c r="D944" s="338"/>
      <c r="E944" s="358" t="str">
        <f>VLOOKUP($B944,DG!A:D,DG!$C$2,)</f>
        <v>Boulon mắt 16x300</v>
      </c>
      <c r="F944" s="594" t="str">
        <f>VLOOKUP($B944,DG!A:D,DG!$D$2,)</f>
        <v>bộ</v>
      </c>
      <c r="G944" s="595">
        <f>G939</f>
        <v>0</v>
      </c>
      <c r="H944" s="355">
        <f t="shared" si="59"/>
        <v>0</v>
      </c>
      <c r="I944" s="355">
        <f>H944+J944-K944</f>
        <v>0</v>
      </c>
      <c r="J944" s="355"/>
      <c r="K944" s="355"/>
      <c r="L944" s="367"/>
      <c r="M944" s="332"/>
      <c r="N944" s="340"/>
      <c r="O944" s="341"/>
    </row>
    <row r="945" spans="1:15" ht="16.2">
      <c r="A945" s="288"/>
      <c r="B945" s="411" t="s">
        <v>977</v>
      </c>
      <c r="C945" s="388" t="str">
        <f>IF(OR(I945&lt;&gt;0,H945&lt;&gt;0),"x"," ")</f>
        <v xml:space="preserve"> </v>
      </c>
      <c r="D945" s="338"/>
      <c r="E945" s="416" t="s">
        <v>978</v>
      </c>
      <c r="F945" s="593" t="s">
        <v>972</v>
      </c>
      <c r="G945" s="349"/>
      <c r="H945" s="349">
        <f>IFERROR(HLOOKUP(B945,'BKT-ThuHoi'!$5:$183,179,0),0)</f>
        <v>0</v>
      </c>
      <c r="I945" s="350">
        <f>H945+J945-K945</f>
        <v>0</v>
      </c>
      <c r="J945" s="350"/>
      <c r="K945" s="350"/>
      <c r="L945" s="348"/>
      <c r="M945" s="332"/>
      <c r="N945" s="340"/>
      <c r="O945" s="341"/>
    </row>
    <row r="946" spans="1:15" ht="16.2">
      <c r="A946" s="288"/>
      <c r="B946" s="351" t="s">
        <v>979</v>
      </c>
      <c r="C946" s="388" t="str">
        <f>IF(OR(I946&lt;&gt;0,H946&lt;&gt;0),"x"," ")</f>
        <v xml:space="preserve"> </v>
      </c>
      <c r="D946" s="338"/>
      <c r="E946" s="358" t="str">
        <f>VLOOKUP($B946,DG!A:D,DG!$C$2,)</f>
        <v>Sứ treo loại 70kN</v>
      </c>
      <c r="F946" s="594" t="str">
        <f>VLOOKUP($B946,DG!A:D,DG!$D$2,)</f>
        <v>bát</v>
      </c>
      <c r="G946" s="595">
        <f>G945*0</f>
        <v>0</v>
      </c>
      <c r="H946" s="355">
        <f t="shared" si="57"/>
        <v>0</v>
      </c>
      <c r="I946" s="355">
        <f>H946+J946-K946</f>
        <v>0</v>
      </c>
      <c r="J946" s="355"/>
      <c r="K946" s="355"/>
      <c r="L946" s="367"/>
      <c r="M946" s="332"/>
      <c r="N946" s="340"/>
      <c r="O946" s="341"/>
    </row>
    <row r="947" spans="1:15" ht="16.2">
      <c r="A947" s="288"/>
      <c r="B947" s="351" t="s">
        <v>958</v>
      </c>
      <c r="C947" s="388" t="str">
        <f>IF(OR(I947&lt;&gt;0,H947&lt;&gt;0),"x"," ")</f>
        <v xml:space="preserve"> </v>
      </c>
      <c r="D947" s="338"/>
      <c r="E947" s="358" t="str">
        <f>VLOOKUP($B947,DG!A:D,DG!$C$2,)</f>
        <v xml:space="preserve">Móc treo chữ U </v>
      </c>
      <c r="F947" s="594" t="str">
        <f>VLOOKUP($B947,DG!A:D,DG!$D$2,)</f>
        <v>cái</v>
      </c>
      <c r="G947" s="595">
        <f>G945*2</f>
        <v>0</v>
      </c>
      <c r="H947" s="355">
        <f t="shared" si="57"/>
        <v>0</v>
      </c>
      <c r="I947" s="355">
        <f>H947+J947-K947</f>
        <v>0</v>
      </c>
      <c r="J947" s="355"/>
      <c r="K947" s="355"/>
      <c r="L947" s="367"/>
      <c r="M947" s="332"/>
      <c r="N947" s="340"/>
      <c r="O947" s="341"/>
    </row>
    <row r="948" spans="1:15" ht="16.2">
      <c r="A948" s="288"/>
      <c r="B948" s="351" t="s">
        <v>974</v>
      </c>
      <c r="C948" s="388" t="str">
        <f>IF(OR(I948&lt;&gt;0,H948&lt;&gt;0),"x"," ")</f>
        <v xml:space="preserve"> </v>
      </c>
      <c r="D948" s="338"/>
      <c r="E948" s="358" t="str">
        <f>VLOOKUP($B948,DG!A:D,DG!$C$2,)</f>
        <v>Vòng treo đầu tròn</v>
      </c>
      <c r="F948" s="594" t="str">
        <f>VLOOKUP($B948,DG!A:D,DG!$D$2,)</f>
        <v>cái</v>
      </c>
      <c r="G948" s="595">
        <f>G945</f>
        <v>0</v>
      </c>
      <c r="H948" s="355">
        <f t="shared" si="57"/>
        <v>0</v>
      </c>
      <c r="I948" s="355">
        <f>H948+J948-K948</f>
        <v>0</v>
      </c>
      <c r="J948" s="355"/>
      <c r="K948" s="355"/>
      <c r="L948" s="367"/>
      <c r="M948" s="332"/>
      <c r="N948" s="340"/>
      <c r="O948" s="341"/>
    </row>
    <row r="949" spans="1:15" ht="16.2">
      <c r="A949" s="288"/>
      <c r="B949" s="351" t="s">
        <v>975</v>
      </c>
      <c r="C949" s="388" t="str">
        <f>IF(OR(I949&lt;&gt;0,H949&lt;&gt;0),"x"," ")</f>
        <v xml:space="preserve"> </v>
      </c>
      <c r="D949" s="338"/>
      <c r="E949" s="358" t="str">
        <f>VLOOKUP($B949,DG!A:D,DG!$C$2,)</f>
        <v>Mắt nối đơn</v>
      </c>
      <c r="F949" s="594" t="str">
        <f>VLOOKUP($B949,DG!A:D,DG!$D$2,)</f>
        <v>cái</v>
      </c>
      <c r="G949" s="595">
        <f>G945</f>
        <v>0</v>
      </c>
      <c r="H949" s="355">
        <f t="shared" si="57"/>
        <v>0</v>
      </c>
      <c r="I949" s="355">
        <f>H949+J949-K949</f>
        <v>0</v>
      </c>
      <c r="J949" s="355"/>
      <c r="K949" s="355"/>
      <c r="L949" s="367"/>
      <c r="M949" s="332"/>
      <c r="N949" s="340"/>
      <c r="O949" s="341"/>
    </row>
    <row r="950" spans="1:15" ht="16.2">
      <c r="A950" s="384"/>
      <c r="B950" s="414" t="s">
        <v>980</v>
      </c>
      <c r="C950" s="388" t="str">
        <f>IF(OR(I950&lt;&gt;0,H950&lt;&gt;0),"x"," ")</f>
        <v xml:space="preserve"> </v>
      </c>
      <c r="D950" s="338"/>
      <c r="E950" s="412" t="s">
        <v>981</v>
      </c>
      <c r="F950" s="593" t="s">
        <v>972</v>
      </c>
      <c r="G950" s="349">
        <f>[3]pp_NC!DJ95</f>
        <v>0</v>
      </c>
      <c r="H950" s="349">
        <f>IFERROR(HLOOKUP(B950,'BKT-ThuHoi'!$5:$183,179,0),0)</f>
        <v>0</v>
      </c>
      <c r="I950" s="350">
        <f>H950+J950-K950</f>
        <v>0</v>
      </c>
      <c r="J950" s="350"/>
      <c r="K950" s="350"/>
      <c r="L950" s="348"/>
      <c r="M950" s="339"/>
      <c r="N950" s="340"/>
      <c r="O950" s="341"/>
    </row>
    <row r="951" spans="1:15" ht="16.2">
      <c r="A951" s="384"/>
      <c r="B951" s="336" t="s">
        <v>982</v>
      </c>
      <c r="C951" s="388" t="str">
        <f>IF(OR(I951&lt;&gt;0,H951&lt;&gt;0),"x"," ")</f>
        <v xml:space="preserve"> </v>
      </c>
      <c r="D951" s="338"/>
      <c r="E951" s="358" t="str">
        <f>VLOOKUP($B951,DG!A:D,DG!$C$2,)</f>
        <v>Sứ treo polymer</v>
      </c>
      <c r="F951" s="594" t="str">
        <f>VLOOKUP($B951,DG!A:D,DG!$D$2,)</f>
        <v>chuỗi</v>
      </c>
      <c r="G951" s="595">
        <f>G950</f>
        <v>0</v>
      </c>
      <c r="H951" s="355">
        <f t="shared" si="57"/>
        <v>0</v>
      </c>
      <c r="I951" s="355">
        <f>H951+J951-K951</f>
        <v>0</v>
      </c>
      <c r="J951" s="355"/>
      <c r="K951" s="355"/>
      <c r="L951" s="367"/>
      <c r="M951" s="339"/>
      <c r="N951" s="340"/>
      <c r="O951" s="341"/>
    </row>
    <row r="952" spans="1:15" ht="16.2">
      <c r="A952" s="384"/>
      <c r="B952" s="336" t="s">
        <v>958</v>
      </c>
      <c r="C952" s="388" t="str">
        <f>IF(OR(I952&lt;&gt;0,H952&lt;&gt;0),"x"," ")</f>
        <v xml:space="preserve"> </v>
      </c>
      <c r="D952" s="338"/>
      <c r="E952" s="358" t="str">
        <f>VLOOKUP($B952,DG!A:D,DG!$C$2,)</f>
        <v xml:space="preserve">Móc treo chữ U </v>
      </c>
      <c r="F952" s="594" t="str">
        <f>VLOOKUP($B952,DG!A:D,DG!$D$2,)</f>
        <v>cái</v>
      </c>
      <c r="G952" s="595">
        <f>G950*2</f>
        <v>0</v>
      </c>
      <c r="H952" s="355">
        <f t="shared" si="57"/>
        <v>0</v>
      </c>
      <c r="I952" s="355">
        <f>H952+J952-K952</f>
        <v>0</v>
      </c>
      <c r="J952" s="355"/>
      <c r="K952" s="355"/>
      <c r="L952" s="367"/>
      <c r="M952" s="339"/>
      <c r="N952" s="340"/>
      <c r="O952" s="341"/>
    </row>
    <row r="953" spans="1:15" ht="16.2">
      <c r="A953" s="384"/>
      <c r="B953" s="336" t="s">
        <v>957</v>
      </c>
      <c r="C953" s="388" t="str">
        <f>IF(OR(I953&lt;&gt;0,H953&lt;&gt;0),"x"," ")</f>
        <v xml:space="preserve"> </v>
      </c>
      <c r="D953" s="338"/>
      <c r="E953" s="358" t="str">
        <f>VLOOKUP($B953,DG!A:D,DG!$C$2,)</f>
        <v>Khóa néo dây cỡ dây 50</v>
      </c>
      <c r="F953" s="594" t="str">
        <f>VLOOKUP($B953,DG!A:D,DG!$D$2,)</f>
        <v>cái</v>
      </c>
      <c r="G953" s="595">
        <f>G950</f>
        <v>0</v>
      </c>
      <c r="H953" s="355">
        <f t="shared" si="57"/>
        <v>0</v>
      </c>
      <c r="I953" s="355">
        <f>H953+J953-K953</f>
        <v>0</v>
      </c>
      <c r="J953" s="355"/>
      <c r="K953" s="355"/>
      <c r="L953" s="367"/>
      <c r="M953" s="339"/>
      <c r="N953" s="340"/>
      <c r="O953" s="341"/>
    </row>
    <row r="954" spans="1:15" ht="16.2">
      <c r="A954" s="288"/>
      <c r="B954" s="351" t="s">
        <v>974</v>
      </c>
      <c r="C954" s="388" t="str">
        <f>IF(OR(I954&lt;&gt;0,H954&lt;&gt;0),"x"," ")</f>
        <v xml:space="preserve"> </v>
      </c>
      <c r="D954" s="338"/>
      <c r="E954" s="358" t="str">
        <f>VLOOKUP($B954,DG!A:D,DG!$C$2,)</f>
        <v>Vòng treo đầu tròn</v>
      </c>
      <c r="F954" s="594" t="str">
        <f>VLOOKUP($B954,DG!A:D,DG!$D$2,)</f>
        <v>cái</v>
      </c>
      <c r="G954" s="595"/>
      <c r="H954" s="355">
        <f t="shared" si="57"/>
        <v>0</v>
      </c>
      <c r="I954" s="355">
        <f>H954+J954-K954</f>
        <v>0</v>
      </c>
      <c r="J954" s="355"/>
      <c r="K954" s="355"/>
      <c r="L954" s="367"/>
      <c r="M954" s="332"/>
      <c r="N954" s="340"/>
      <c r="O954" s="341"/>
    </row>
    <row r="955" spans="1:15" ht="16.2">
      <c r="A955" s="288"/>
      <c r="B955" s="351" t="s">
        <v>975</v>
      </c>
      <c r="C955" s="388" t="str">
        <f>IF(OR(I955&lt;&gt;0,H955&lt;&gt;0),"x"," ")</f>
        <v xml:space="preserve"> </v>
      </c>
      <c r="D955" s="338"/>
      <c r="E955" s="358" t="str">
        <f>VLOOKUP($B955,DG!A:D,DG!$C$2,)</f>
        <v>Mắt nối đơn</v>
      </c>
      <c r="F955" s="594" t="str">
        <f>VLOOKUP($B955,DG!A:D,DG!$D$2,)</f>
        <v>cái</v>
      </c>
      <c r="G955" s="595"/>
      <c r="H955" s="355">
        <f t="shared" si="57"/>
        <v>0</v>
      </c>
      <c r="I955" s="355">
        <f>H955+J955-K955</f>
        <v>0</v>
      </c>
      <c r="J955" s="355"/>
      <c r="K955" s="355"/>
      <c r="L955" s="367"/>
      <c r="M955" s="332"/>
      <c r="N955" s="340"/>
      <c r="O955" s="341"/>
    </row>
    <row r="956" spans="1:15" ht="16.2">
      <c r="A956" s="288"/>
      <c r="B956" s="343">
        <v>0</v>
      </c>
      <c r="C956" s="388" t="str">
        <f>IF(OR(I956&lt;&gt;0,H956&lt;&gt;0),"x"," ")</f>
        <v xml:space="preserve"> </v>
      </c>
      <c r="D956" s="338"/>
      <c r="E956" s="599" t="s">
        <v>983</v>
      </c>
      <c r="F956" s="593"/>
      <c r="G956" s="349"/>
      <c r="H956" s="349">
        <f>IFERROR(HLOOKUP(B956,'BKT-ThuHoi'!$5:$183,179,0),0)</f>
        <v>0</v>
      </c>
      <c r="I956" s="350">
        <f>H956+J956-K956</f>
        <v>0</v>
      </c>
      <c r="J956" s="350"/>
      <c r="K956" s="350"/>
      <c r="L956" s="348"/>
      <c r="M956" s="332"/>
      <c r="N956" s="340"/>
      <c r="O956" s="341"/>
    </row>
    <row r="957" spans="1:15" ht="16.2">
      <c r="A957" s="418"/>
      <c r="B957" s="417" t="s">
        <v>984</v>
      </c>
      <c r="C957" s="388" t="str">
        <f>IF(OR(I957&lt;&gt;0,H957&lt;&gt;0),"x"," ")</f>
        <v xml:space="preserve"> </v>
      </c>
      <c r="D957" s="338"/>
      <c r="E957" s="358" t="str">
        <f>VLOOKUP($B957,DG!A:D,DG!$C$2,)</f>
        <v>Khóa đỡ dây cỡ dây 240</v>
      </c>
      <c r="F957" s="594" t="str">
        <f>VLOOKUP($B957,DG!A:D,DG!$D$2,)</f>
        <v>cái</v>
      </c>
      <c r="G957" s="595"/>
      <c r="H957" s="355">
        <f t="shared" si="57"/>
        <v>0</v>
      </c>
      <c r="I957" s="355">
        <f>H957+J957-K957</f>
        <v>0</v>
      </c>
      <c r="J957" s="355"/>
      <c r="K957" s="355"/>
      <c r="L957" s="367"/>
      <c r="M957" s="332"/>
      <c r="N957" s="340"/>
      <c r="O957" s="341"/>
    </row>
    <row r="958" spans="1:15" ht="16.2">
      <c r="A958" s="288"/>
      <c r="B958" s="417" t="s">
        <v>985</v>
      </c>
      <c r="C958" s="388" t="str">
        <f>IF(OR(I958&lt;&gt;0,H958&lt;&gt;0),"x"," ")</f>
        <v xml:space="preserve"> </v>
      </c>
      <c r="D958" s="338"/>
      <c r="E958" s="358" t="str">
        <f>VLOOKUP($B958,DG!A:D,DG!$C$2,)</f>
        <v>Khóa đỡ dây cỡ dây 185</v>
      </c>
      <c r="F958" s="594" t="str">
        <f>VLOOKUP($B958,DG!A:D,DG!$D$2,)</f>
        <v>cái</v>
      </c>
      <c r="G958" s="595"/>
      <c r="H958" s="355">
        <f t="shared" si="57"/>
        <v>0</v>
      </c>
      <c r="I958" s="355">
        <f>H958+J958-K958</f>
        <v>0</v>
      </c>
      <c r="J958" s="355"/>
      <c r="K958" s="355"/>
      <c r="L958" s="367"/>
      <c r="M958" s="332"/>
      <c r="N958" s="340"/>
      <c r="O958" s="341"/>
    </row>
    <row r="959" spans="1:15" ht="16.2">
      <c r="A959" s="288"/>
      <c r="B959" s="417" t="s">
        <v>986</v>
      </c>
      <c r="C959" s="388" t="str">
        <f>IF(OR(I959&lt;&gt;0,H959&lt;&gt;0),"x"," ")</f>
        <v xml:space="preserve"> </v>
      </c>
      <c r="D959" s="338"/>
      <c r="E959" s="358" t="str">
        <f>VLOOKUP($B959,DG!A:D,DG!$C$2,)</f>
        <v>Khóa đỡ dây cỡ dây 150</v>
      </c>
      <c r="F959" s="594" t="str">
        <f>VLOOKUP($B959,DG!A:D,DG!$D$2,)</f>
        <v>cái</v>
      </c>
      <c r="G959" s="595"/>
      <c r="H959" s="355">
        <f t="shared" si="57"/>
        <v>0</v>
      </c>
      <c r="I959" s="355">
        <f>H959+J959-K959</f>
        <v>0</v>
      </c>
      <c r="J959" s="355"/>
      <c r="K959" s="355"/>
      <c r="L959" s="367"/>
      <c r="M959" s="332"/>
      <c r="N959" s="340"/>
      <c r="O959" s="341"/>
    </row>
    <row r="960" spans="1:15" ht="16.2">
      <c r="A960" s="288"/>
      <c r="B960" s="417" t="s">
        <v>987</v>
      </c>
      <c r="C960" s="388" t="str">
        <f>IF(OR(I960&lt;&gt;0,H960&lt;&gt;0),"x"," ")</f>
        <v xml:space="preserve"> </v>
      </c>
      <c r="D960" s="338"/>
      <c r="E960" s="358" t="str">
        <f>VLOOKUP($B960,DG!A:D,DG!$C$2,)</f>
        <v>Khóa đỡ dây cỡ dây 120</v>
      </c>
      <c r="F960" s="594" t="str">
        <f>VLOOKUP($B960,DG!A:D,DG!$D$2,)</f>
        <v>cái</v>
      </c>
      <c r="G960" s="595"/>
      <c r="H960" s="355">
        <f t="shared" si="57"/>
        <v>0</v>
      </c>
      <c r="I960" s="355">
        <f>H960+J960-K960</f>
        <v>0</v>
      </c>
      <c r="J960" s="355"/>
      <c r="K960" s="355"/>
      <c r="L960" s="367"/>
      <c r="M960" s="332"/>
      <c r="N960" s="340"/>
      <c r="O960" s="341"/>
    </row>
    <row r="961" spans="1:15" ht="16.2">
      <c r="A961" s="288"/>
      <c r="B961" s="417" t="s">
        <v>988</v>
      </c>
      <c r="C961" s="388" t="str">
        <f>IF(OR(I961&lt;&gt;0,H961&lt;&gt;0),"x"," ")</f>
        <v xml:space="preserve"> </v>
      </c>
      <c r="D961" s="338"/>
      <c r="E961" s="358" t="str">
        <f>VLOOKUP($B961,DG!A:D,DG!$C$2,)</f>
        <v>Khóa đỡ dây cỡ dây 95</v>
      </c>
      <c r="F961" s="594" t="str">
        <f>VLOOKUP($B961,DG!A:D,DG!$D$2,)</f>
        <v>cái</v>
      </c>
      <c r="G961" s="595"/>
      <c r="H961" s="355">
        <f t="shared" si="57"/>
        <v>0</v>
      </c>
      <c r="I961" s="355">
        <f>H961+J961-K961</f>
        <v>0</v>
      </c>
      <c r="J961" s="355"/>
      <c r="K961" s="355"/>
      <c r="L961" s="367"/>
      <c r="M961" s="332"/>
      <c r="N961" s="340"/>
      <c r="O961" s="341"/>
    </row>
    <row r="962" spans="1:15" ht="16.2">
      <c r="A962" s="288"/>
      <c r="B962" s="417" t="s">
        <v>989</v>
      </c>
      <c r="C962" s="388" t="str">
        <f>IF(OR(I962&lt;&gt;0,H962&lt;&gt;0),"x"," ")</f>
        <v xml:space="preserve"> </v>
      </c>
      <c r="D962" s="338"/>
      <c r="E962" s="358" t="str">
        <f>VLOOKUP($B962,DG!A:D,DG!$C$2,)</f>
        <v>Khóa đỡ dây cỡ dây 70</v>
      </c>
      <c r="F962" s="594" t="str">
        <f>VLOOKUP($B962,DG!A:D,DG!$D$2,)</f>
        <v>cái</v>
      </c>
      <c r="G962" s="595"/>
      <c r="H962" s="355">
        <f t="shared" si="57"/>
        <v>0</v>
      </c>
      <c r="I962" s="355">
        <f>H962+J962-K962</f>
        <v>0</v>
      </c>
      <c r="J962" s="355"/>
      <c r="K962" s="355"/>
      <c r="L962" s="367"/>
      <c r="M962" s="332"/>
      <c r="N962" s="340"/>
      <c r="O962" s="341"/>
    </row>
    <row r="963" spans="1:15" ht="16.2">
      <c r="A963" s="288"/>
      <c r="B963" s="417" t="s">
        <v>990</v>
      </c>
      <c r="C963" s="388" t="str">
        <f>IF(OR(I963&lt;&gt;0,H963&lt;&gt;0),"x"," ")</f>
        <v xml:space="preserve"> </v>
      </c>
      <c r="D963" s="338"/>
      <c r="E963" s="358" t="str">
        <f>VLOOKUP($B963,DG!A:D,DG!$C$2,)</f>
        <v>Khóa đỡ dây cỡ dây 50</v>
      </c>
      <c r="F963" s="594" t="str">
        <f>VLOOKUP($B963,DG!A:D,DG!$D$2,)</f>
        <v>cái</v>
      </c>
      <c r="G963" s="595"/>
      <c r="H963" s="355">
        <f t="shared" si="57"/>
        <v>0</v>
      </c>
      <c r="I963" s="355">
        <f>H963+J963-K963</f>
        <v>0</v>
      </c>
      <c r="J963" s="355"/>
      <c r="K963" s="355"/>
      <c r="L963" s="367"/>
      <c r="M963" s="332"/>
      <c r="N963" s="340"/>
      <c r="O963" s="341"/>
    </row>
    <row r="964" spans="1:15" ht="16.2">
      <c r="A964" s="288"/>
      <c r="B964" s="417" t="s">
        <v>991</v>
      </c>
      <c r="C964" s="388" t="str">
        <f>IF(OR(I964&lt;&gt;0,H964&lt;&gt;0),"x"," ")</f>
        <v xml:space="preserve"> </v>
      </c>
      <c r="D964" s="338"/>
      <c r="E964" s="358" t="str">
        <f>VLOOKUP($B964,DG!A:D,DG!$C$2,)</f>
        <v>Khóa néo dây cỡ dây 240</v>
      </c>
      <c r="F964" s="594" t="str">
        <f>VLOOKUP($B964,DG!A:D,DG!$D$2,)</f>
        <v>cái</v>
      </c>
      <c r="G964" s="595"/>
      <c r="H964" s="355">
        <f t="shared" si="57"/>
        <v>0</v>
      </c>
      <c r="I964" s="355">
        <f>H964+J964-K964</f>
        <v>0</v>
      </c>
      <c r="J964" s="355"/>
      <c r="K964" s="355"/>
      <c r="L964" s="367"/>
      <c r="M964" s="332"/>
      <c r="N964" s="340"/>
      <c r="O964" s="341"/>
    </row>
    <row r="965" spans="1:15" ht="16.2">
      <c r="A965" s="288"/>
      <c r="B965" s="419" t="s">
        <v>992</v>
      </c>
      <c r="C965" s="388" t="str">
        <f>IF(OR(I965&lt;&gt;0,H965&lt;&gt;0),"x"," ")</f>
        <v xml:space="preserve"> </v>
      </c>
      <c r="D965" s="338"/>
      <c r="E965" s="358" t="str">
        <f>VLOOKUP($B965,DG!A:D,DG!$C$2,)</f>
        <v>Khóa néo dây cỡ dây 185</v>
      </c>
      <c r="F965" s="594" t="str">
        <f>VLOOKUP($B965,DG!A:D,DG!$D$2,)</f>
        <v>cái</v>
      </c>
      <c r="G965" s="595"/>
      <c r="H965" s="355">
        <f t="shared" si="57"/>
        <v>0</v>
      </c>
      <c r="I965" s="355">
        <f>H965+J965-K965</f>
        <v>0</v>
      </c>
      <c r="J965" s="355"/>
      <c r="K965" s="355"/>
      <c r="L965" s="367"/>
      <c r="M965" s="332"/>
      <c r="N965" s="340"/>
      <c r="O965" s="341"/>
    </row>
    <row r="966" spans="1:15" ht="16.2">
      <c r="A966" s="288"/>
      <c r="B966" s="417" t="s">
        <v>993</v>
      </c>
      <c r="C966" s="388" t="str">
        <f>IF(OR(I966&lt;&gt;0,H966&lt;&gt;0),"x"," ")</f>
        <v xml:space="preserve"> </v>
      </c>
      <c r="D966" s="338"/>
      <c r="E966" s="358" t="str">
        <f>VLOOKUP($B966,DG!A:D,DG!$C$2,)</f>
        <v>Khóa néo dây cỡ dây 150</v>
      </c>
      <c r="F966" s="594" t="str">
        <f>VLOOKUP($B966,DG!A:D,DG!$D$2,)</f>
        <v>cái</v>
      </c>
      <c r="G966" s="595"/>
      <c r="H966" s="355">
        <f t="shared" si="57"/>
        <v>0</v>
      </c>
      <c r="I966" s="355">
        <f>H966+J966-K966</f>
        <v>0</v>
      </c>
      <c r="J966" s="355"/>
      <c r="K966" s="355"/>
      <c r="L966" s="367"/>
      <c r="M966" s="332"/>
      <c r="N966" s="340"/>
      <c r="O966" s="341"/>
    </row>
    <row r="967" spans="1:15" ht="16.2">
      <c r="A967" s="288"/>
      <c r="B967" s="419" t="s">
        <v>994</v>
      </c>
      <c r="C967" s="388" t="str">
        <f>IF(OR(I967&lt;&gt;0,H967&lt;&gt;0),"x"," ")</f>
        <v xml:space="preserve"> </v>
      </c>
      <c r="D967" s="338"/>
      <c r="E967" s="358" t="str">
        <f>VLOOKUP($B967,DG!A:D,DG!$C$2,)</f>
        <v>Khóa néo dây cỡ dây 120</v>
      </c>
      <c r="F967" s="594" t="str">
        <f>VLOOKUP($B967,DG!A:D,DG!$D$2,)</f>
        <v>cái</v>
      </c>
      <c r="G967" s="595"/>
      <c r="H967" s="355">
        <f t="shared" si="57"/>
        <v>0</v>
      </c>
      <c r="I967" s="355">
        <f>H967+J967-K967</f>
        <v>0</v>
      </c>
      <c r="J967" s="355"/>
      <c r="K967" s="355"/>
      <c r="L967" s="367"/>
      <c r="M967" s="332"/>
      <c r="N967" s="340"/>
      <c r="O967" s="341"/>
    </row>
    <row r="968" spans="1:15" ht="16.2">
      <c r="A968" s="288"/>
      <c r="B968" s="417" t="s">
        <v>995</v>
      </c>
      <c r="C968" s="388" t="str">
        <f>IF(OR(I968&lt;&gt;0,H968&lt;&gt;0),"x"," ")</f>
        <v xml:space="preserve"> </v>
      </c>
      <c r="D968" s="338"/>
      <c r="E968" s="358" t="str">
        <f>VLOOKUP($B968,DG!A:D,DG!$C$2,)</f>
        <v>Khóa néo dây cỡ dây 95</v>
      </c>
      <c r="F968" s="594" t="str">
        <f>VLOOKUP($B968,DG!A:D,DG!$D$2,)</f>
        <v>cái</v>
      </c>
      <c r="G968" s="595"/>
      <c r="H968" s="355">
        <f t="shared" si="57"/>
        <v>0</v>
      </c>
      <c r="I968" s="355">
        <f>H968+J968-K968</f>
        <v>0</v>
      </c>
      <c r="J968" s="355"/>
      <c r="K968" s="355"/>
      <c r="L968" s="367"/>
      <c r="M968" s="332"/>
      <c r="N968" s="340"/>
      <c r="O968" s="341"/>
    </row>
    <row r="969" spans="1:15" ht="16.2">
      <c r="A969" s="288"/>
      <c r="B969" s="419" t="s">
        <v>996</v>
      </c>
      <c r="C969" s="388" t="str">
        <f>IF(OR(I969&lt;&gt;0,H969&lt;&gt;0),"x"," ")</f>
        <v xml:space="preserve"> </v>
      </c>
      <c r="D969" s="338"/>
      <c r="E969" s="358" t="str">
        <f>VLOOKUP($B969,DG!A:D,DG!$C$2,)</f>
        <v>Khóa néo dây cỡ dây 70</v>
      </c>
      <c r="F969" s="594" t="str">
        <f>VLOOKUP($B969,DG!A:D,DG!$D$2,)</f>
        <v>cái</v>
      </c>
      <c r="G969" s="595"/>
      <c r="H969" s="355">
        <f t="shared" si="57"/>
        <v>0</v>
      </c>
      <c r="I969" s="355">
        <f>H969+J969-K969</f>
        <v>0</v>
      </c>
      <c r="J969" s="355"/>
      <c r="K969" s="355"/>
      <c r="L969" s="367"/>
      <c r="M969" s="332"/>
      <c r="N969" s="340"/>
      <c r="O969" s="341"/>
    </row>
    <row r="970" spans="1:15" ht="16.2">
      <c r="A970" s="288"/>
      <c r="B970" s="419" t="s">
        <v>997</v>
      </c>
      <c r="C970" s="388" t="str">
        <f>IF(OR(I970&lt;&gt;0,H970&lt;&gt;0),"x"," ")</f>
        <v xml:space="preserve"> </v>
      </c>
      <c r="D970" s="338"/>
      <c r="E970" s="358" t="str">
        <f>VLOOKUP($B970,DG!A:D,DG!$C$2,)</f>
        <v>Khóa néo dây cỡ dây 50</v>
      </c>
      <c r="F970" s="594" t="str">
        <f>VLOOKUP($B970,DG!A:D,DG!$D$2,)</f>
        <v>cái</v>
      </c>
      <c r="G970" s="595"/>
      <c r="H970" s="355">
        <f t="shared" si="57"/>
        <v>0</v>
      </c>
      <c r="I970" s="355">
        <f>H970+J970-K970</f>
        <v>0</v>
      </c>
      <c r="J970" s="355"/>
      <c r="K970" s="355"/>
      <c r="L970" s="367"/>
      <c r="M970" s="332"/>
      <c r="N970" s="340"/>
      <c r="O970" s="341"/>
    </row>
    <row r="971" spans="1:15" ht="16.2">
      <c r="A971" s="288"/>
      <c r="B971" s="417" t="s">
        <v>998</v>
      </c>
      <c r="C971" s="388" t="str">
        <f>IF(OR(I971&lt;&gt;0,H971&lt;&gt;0),"x"," ")</f>
        <v xml:space="preserve"> </v>
      </c>
      <c r="D971" s="338"/>
      <c r="E971" s="358" t="str">
        <f>VLOOKUP($B971,DG!A:D,DG!$C$2,)</f>
        <v>Kẹp 2 rãnh (APC) cỡ dây 50mm2</v>
      </c>
      <c r="F971" s="594" t="str">
        <f>VLOOKUP($B971,DG!A:D,DG!$D$2,)</f>
        <v>cái</v>
      </c>
      <c r="G971" s="595"/>
      <c r="H971" s="355">
        <f t="shared" si="57"/>
        <v>0</v>
      </c>
      <c r="I971" s="355">
        <f>H971+J971-K971</f>
        <v>0</v>
      </c>
      <c r="J971" s="355"/>
      <c r="K971" s="355"/>
      <c r="L971" s="367"/>
      <c r="M971" s="332"/>
      <c r="N971" s="340"/>
      <c r="O971" s="341"/>
    </row>
    <row r="972" spans="1:15" ht="16.2">
      <c r="A972" s="288"/>
      <c r="B972" s="417" t="s">
        <v>999</v>
      </c>
      <c r="C972" s="388" t="str">
        <f>IF(OR(I972&lt;&gt;0,H972&lt;&gt;0),"x"," ")</f>
        <v xml:space="preserve"> </v>
      </c>
      <c r="D972" s="338"/>
      <c r="E972" s="358" t="str">
        <f>VLOOKUP($B972,DG!A:D,DG!$C$2,)</f>
        <v>Kẹp 2 rãnh (APC) cỡ dây 70mm2</v>
      </c>
      <c r="F972" s="594" t="str">
        <f>VLOOKUP($B972,DG!A:D,DG!$D$2,)</f>
        <v>cái</v>
      </c>
      <c r="G972" s="595"/>
      <c r="H972" s="355">
        <f t="shared" si="57"/>
        <v>0</v>
      </c>
      <c r="I972" s="355">
        <f>H972+J972-K972</f>
        <v>0</v>
      </c>
      <c r="J972" s="355"/>
      <c r="K972" s="355"/>
      <c r="L972" s="367"/>
      <c r="M972" s="332"/>
      <c r="N972" s="340"/>
      <c r="O972" s="341"/>
    </row>
    <row r="973" spans="1:15" ht="16.2">
      <c r="A973" s="288"/>
      <c r="B973" s="417" t="s">
        <v>1000</v>
      </c>
      <c r="C973" s="388" t="str">
        <f>IF(OR(I973&lt;&gt;0,H973&lt;&gt;0),"x"," ")</f>
        <v xml:space="preserve"> </v>
      </c>
      <c r="D973" s="338"/>
      <c r="E973" s="358" t="str">
        <f>VLOOKUP($B973,DG!A:D,DG!$C$2,)</f>
        <v>Kẹp 2 rãnh (APC) cỡ dây 95mm2</v>
      </c>
      <c r="F973" s="594" t="str">
        <f>VLOOKUP($B973,DG!A:D,DG!$D$2,)</f>
        <v>cái</v>
      </c>
      <c r="G973" s="595"/>
      <c r="H973" s="355">
        <f t="shared" si="57"/>
        <v>0</v>
      </c>
      <c r="I973" s="355">
        <f>H973+J973-K973</f>
        <v>0</v>
      </c>
      <c r="J973" s="355"/>
      <c r="K973" s="355"/>
      <c r="L973" s="367"/>
      <c r="M973" s="332"/>
      <c r="N973" s="340"/>
      <c r="O973" s="341"/>
    </row>
    <row r="974" spans="1:15" ht="16.2">
      <c r="A974" s="384"/>
      <c r="B974" s="420" t="s">
        <v>1001</v>
      </c>
      <c r="C974" s="388" t="str">
        <f>IF(OR(I974&lt;&gt;0,H974&lt;&gt;0),"x"," ")</f>
        <v xml:space="preserve"> </v>
      </c>
      <c r="D974" s="338"/>
      <c r="E974" s="358" t="str">
        <f>VLOOKUP($B974,DG!A:D,DG!$C$2,)</f>
        <v>Kẹp quai 2/0</v>
      </c>
      <c r="F974" s="594" t="str">
        <f>VLOOKUP($B974,DG!A:D,DG!$D$2,)</f>
        <v>cái</v>
      </c>
      <c r="G974" s="595">
        <f>[3]pp_NC!DP95</f>
        <v>0</v>
      </c>
      <c r="H974" s="355">
        <f t="shared" si="57"/>
        <v>0</v>
      </c>
      <c r="I974" s="355">
        <f>H974+J974-K974</f>
        <v>0</v>
      </c>
      <c r="J974" s="355"/>
      <c r="K974" s="355"/>
      <c r="L974" s="367"/>
      <c r="M974" s="339"/>
      <c r="N974" s="340"/>
      <c r="O974" s="341"/>
    </row>
    <row r="975" spans="1:15" ht="16.2">
      <c r="A975" s="384"/>
      <c r="B975" s="420" t="s">
        <v>1002</v>
      </c>
      <c r="C975" s="388" t="str">
        <f>IF(OR(I975&lt;&gt;0,H975&lt;&gt;0),"x"," ")</f>
        <v xml:space="preserve"> </v>
      </c>
      <c r="D975" s="338"/>
      <c r="E975" s="358" t="str">
        <f>VLOOKUP($B975,DG!A:D,DG!$C$2,)</f>
        <v>Kẹp hotline 2/0</v>
      </c>
      <c r="F975" s="594" t="str">
        <f>VLOOKUP($B975,DG!A:D,DG!$D$2,)</f>
        <v>cái</v>
      </c>
      <c r="G975" s="595">
        <f>[3]pp_NC!DQ95</f>
        <v>0</v>
      </c>
      <c r="H975" s="355">
        <f t="shared" si="57"/>
        <v>0</v>
      </c>
      <c r="I975" s="355">
        <f>H975+J975-K975</f>
        <v>0</v>
      </c>
      <c r="J975" s="355"/>
      <c r="K975" s="355"/>
      <c r="L975" s="367"/>
      <c r="M975" s="339"/>
      <c r="N975" s="340"/>
      <c r="O975" s="341"/>
    </row>
    <row r="976" spans="1:15" ht="16.2">
      <c r="A976" s="384"/>
      <c r="B976" s="420" t="s">
        <v>645</v>
      </c>
      <c r="C976" s="388" t="str">
        <f>IF(OR(I976&lt;&gt;0,H976&lt;&gt;0),"x"," ")</f>
        <v xml:space="preserve"> </v>
      </c>
      <c r="D976" s="338"/>
      <c r="E976" s="358" t="str">
        <f>VLOOKUP($B976,DG!A:D,DG!$C$2,)</f>
        <v>Kẹp ép WR cỡ dây 50mm2</v>
      </c>
      <c r="F976" s="594" t="str">
        <f>VLOOKUP($B976,DG!A:D,DG!$D$2,)</f>
        <v>cái</v>
      </c>
      <c r="G976" s="595">
        <f>[3]pp_NC!DR95</f>
        <v>0</v>
      </c>
      <c r="H976" s="355">
        <f t="shared" si="57"/>
        <v>0</v>
      </c>
      <c r="I976" s="355">
        <f>H976+J976-K976</f>
        <v>0</v>
      </c>
      <c r="J976" s="355"/>
      <c r="K976" s="355"/>
      <c r="L976" s="367"/>
      <c r="M976" s="339"/>
      <c r="N976" s="340"/>
      <c r="O976" s="341"/>
    </row>
    <row r="977" spans="1:15" ht="16.2">
      <c r="A977" s="384"/>
      <c r="B977" s="420" t="s">
        <v>1003</v>
      </c>
      <c r="C977" s="388" t="str">
        <f>IF(OR(I977&lt;&gt;0,H977&lt;&gt;0),"x"," ")</f>
        <v xml:space="preserve"> </v>
      </c>
      <c r="D977" s="338"/>
      <c r="E977" s="358" t="str">
        <f>VLOOKUP($B977,DG!A:D,DG!$C$2,)</f>
        <v>Kẹp ép WR cỡ dây 95mm2</v>
      </c>
      <c r="F977" s="594" t="str">
        <f>VLOOKUP($B977,DG!A:D,DG!$D$2,)</f>
        <v>cái</v>
      </c>
      <c r="G977" s="595">
        <f>[3]pp_NC!DS95</f>
        <v>0</v>
      </c>
      <c r="H977" s="355">
        <f t="shared" si="57"/>
        <v>0</v>
      </c>
      <c r="I977" s="355">
        <f>H977+J977-K977</f>
        <v>0</v>
      </c>
      <c r="J977" s="355"/>
      <c r="K977" s="355"/>
      <c r="L977" s="367"/>
      <c r="M977" s="339"/>
      <c r="N977" s="340"/>
      <c r="O977" s="341"/>
    </row>
    <row r="978" spans="1:15" ht="16.2">
      <c r="A978" s="288"/>
      <c r="B978" s="417" t="s">
        <v>1004</v>
      </c>
      <c r="C978" s="388" t="str">
        <f>IF(OR(I978&lt;&gt;0,H978&lt;&gt;0),"x"," ")</f>
        <v xml:space="preserve"> </v>
      </c>
      <c r="D978" s="338"/>
      <c r="E978" s="358" t="str">
        <f>VLOOKUP($B978,DG!A:D,DG!$C$2,)</f>
        <v>Kẹp ép WR cỡ dây 150mm2</v>
      </c>
      <c r="F978" s="594" t="str">
        <f>VLOOKUP($B978,DG!A:D,DG!$D$2,)</f>
        <v>cái</v>
      </c>
      <c r="G978" s="595">
        <f>[3]pp_NC!DU95</f>
        <v>0</v>
      </c>
      <c r="H978" s="355">
        <f t="shared" si="57"/>
        <v>0</v>
      </c>
      <c r="I978" s="355">
        <f>H978+J978-K978</f>
        <v>0</v>
      </c>
      <c r="J978" s="355"/>
      <c r="K978" s="355"/>
      <c r="L978" s="367"/>
      <c r="M978" s="332"/>
      <c r="N978" s="340"/>
      <c r="O978" s="341"/>
    </row>
    <row r="979" spans="1:15" ht="16.2">
      <c r="A979" s="288"/>
      <c r="B979" s="417" t="s">
        <v>1005</v>
      </c>
      <c r="C979" s="388" t="str">
        <f>IF(OR(I979&lt;&gt;0,H979&lt;&gt;0),"x"," ")</f>
        <v xml:space="preserve"> </v>
      </c>
      <c r="D979" s="338"/>
      <c r="E979" s="358" t="str">
        <f>VLOOKUP($B979,DG!A:D,DG!$C$2,)</f>
        <v>Kẹp ép WR cỡ dây 185mm2</v>
      </c>
      <c r="F979" s="594" t="str">
        <f>VLOOKUP($B979,DG!A:D,DG!$D$2,)</f>
        <v>cái</v>
      </c>
      <c r="G979" s="595"/>
      <c r="H979" s="355">
        <f t="shared" si="57"/>
        <v>0</v>
      </c>
      <c r="I979" s="355">
        <f>H979+J979-K979</f>
        <v>0</v>
      </c>
      <c r="J979" s="355"/>
      <c r="K979" s="355"/>
      <c r="L979" s="367"/>
      <c r="M979" s="332"/>
      <c r="N979" s="340"/>
      <c r="O979" s="341"/>
    </row>
    <row r="980" spans="1:15" ht="16.2">
      <c r="A980" s="288"/>
      <c r="B980" s="417" t="s">
        <v>1006</v>
      </c>
      <c r="C980" s="388" t="str">
        <f>IF(OR(I980&lt;&gt;0,H980&lt;&gt;0),"x"," ")</f>
        <v xml:space="preserve"> </v>
      </c>
      <c r="D980" s="338"/>
      <c r="E980" s="358" t="str">
        <f>VLOOKUP($B980,DG!A:D,DG!$C$2,)</f>
        <v>Kẹp ép WR cỡ dây 240mm2</v>
      </c>
      <c r="F980" s="594" t="str">
        <f>VLOOKUP($B980,DG!A:D,DG!$D$2,)</f>
        <v>cái</v>
      </c>
      <c r="G980" s="595">
        <f>[3]pp_NC!DV95</f>
        <v>0</v>
      </c>
      <c r="H980" s="355">
        <f t="shared" si="57"/>
        <v>0</v>
      </c>
      <c r="I980" s="355">
        <f>H980+J980-K980</f>
        <v>0</v>
      </c>
      <c r="J980" s="355"/>
      <c r="K980" s="355"/>
      <c r="L980" s="367"/>
      <c r="M980" s="332"/>
      <c r="N980" s="340"/>
      <c r="O980" s="341"/>
    </row>
    <row r="981" spans="1:15" ht="16.2">
      <c r="A981" s="288"/>
      <c r="B981" s="417" t="s">
        <v>1007</v>
      </c>
      <c r="C981" s="388" t="str">
        <f>IF(OR(I981&lt;&gt;0,H981&lt;&gt;0),"x"," ")</f>
        <v xml:space="preserve"> </v>
      </c>
      <c r="D981" s="338" t="str">
        <f>VLOOKUP($B981,DG!A:D,DG!$B$2,)</f>
        <v>03.4003</v>
      </c>
      <c r="E981" s="358" t="str">
        <f>VLOOKUP($B981,DG!A:D,DG!$C$2,)</f>
        <v>Đầu cosse ép Cu-Al 70mm2</v>
      </c>
      <c r="F981" s="594" t="str">
        <f>VLOOKUP($B981,DG!A:D,DG!$D$2,)</f>
        <v>cái</v>
      </c>
      <c r="G981" s="595">
        <f>[3]pp_NC!DW184</f>
        <v>0</v>
      </c>
      <c r="H981" s="355">
        <f t="shared" si="57"/>
        <v>0</v>
      </c>
      <c r="I981" s="355">
        <f>H981+J981-K981</f>
        <v>0</v>
      </c>
      <c r="J981" s="355"/>
      <c r="K981" s="355"/>
      <c r="L981" s="367"/>
      <c r="M981" s="332"/>
      <c r="N981" s="340"/>
      <c r="O981" s="341"/>
    </row>
    <row r="982" spans="1:15" ht="16.2">
      <c r="A982" s="288"/>
      <c r="B982" s="417" t="s">
        <v>1008</v>
      </c>
      <c r="C982" s="388" t="str">
        <f>IF(OR(I982&lt;&gt;0,H982&lt;&gt;0),"x"," ")</f>
        <v xml:space="preserve"> </v>
      </c>
      <c r="D982" s="338" t="str">
        <f>VLOOKUP($B982,DG!A:D,DG!$B$2,)</f>
        <v>03.4004</v>
      </c>
      <c r="E982" s="358" t="str">
        <f>VLOOKUP($B982,DG!A:D,DG!$C$2,)</f>
        <v>Đầu cosse ép Cu-Al 95mm2</v>
      </c>
      <c r="F982" s="594" t="str">
        <f>VLOOKUP($B982,DG!A:D,DG!$D$2,)</f>
        <v>cái</v>
      </c>
      <c r="G982" s="595">
        <f>[3]pp_NC!DY184</f>
        <v>0</v>
      </c>
      <c r="H982" s="355">
        <f t="shared" si="57"/>
        <v>0</v>
      </c>
      <c r="I982" s="355">
        <f>H982+J982-K982</f>
        <v>0</v>
      </c>
      <c r="J982" s="355"/>
      <c r="K982" s="355"/>
      <c r="L982" s="367"/>
      <c r="M982" s="332"/>
      <c r="N982" s="340"/>
      <c r="O982" s="341"/>
    </row>
    <row r="983" spans="1:15" ht="16.2">
      <c r="A983" s="288"/>
      <c r="B983" s="417" t="s">
        <v>1009</v>
      </c>
      <c r="C983" s="388" t="str">
        <f>IF(OR(I983&lt;&gt;0,H983&lt;&gt;0),"x"," ")</f>
        <v xml:space="preserve"> </v>
      </c>
      <c r="D983" s="338" t="str">
        <f>VLOOKUP($B983,DG!A:D,DG!$B$2,)</f>
        <v>03.4005</v>
      </c>
      <c r="E983" s="358" t="str">
        <f>VLOOKUP($B983,DG!A:D,DG!$C$2,)</f>
        <v>Đầu cosse ép Cu-Al 120mm2</v>
      </c>
      <c r="F983" s="594" t="str">
        <f>VLOOKUP($B983,DG!A:D,DG!$D$2,)</f>
        <v>cái</v>
      </c>
      <c r="G983" s="595">
        <f>[3]pp_NC!DZ184</f>
        <v>0</v>
      </c>
      <c r="H983" s="355">
        <f t="shared" si="57"/>
        <v>0</v>
      </c>
      <c r="I983" s="355">
        <f>H983+J983-K983</f>
        <v>0</v>
      </c>
      <c r="J983" s="355"/>
      <c r="K983" s="355"/>
      <c r="L983" s="367"/>
      <c r="M983" s="332"/>
      <c r="N983" s="340"/>
      <c r="O983" s="341"/>
    </row>
    <row r="984" spans="1:15" ht="16.2">
      <c r="A984" s="288"/>
      <c r="B984" s="417" t="s">
        <v>1010</v>
      </c>
      <c r="C984" s="388" t="str">
        <f>IF(OR(I984&lt;&gt;0,H984&lt;&gt;0),"x"," ")</f>
        <v xml:space="preserve"> </v>
      </c>
      <c r="D984" s="338" t="str">
        <f>VLOOKUP($B984,DG!A:D,DG!$B$2,)</f>
        <v>03.4006</v>
      </c>
      <c r="E984" s="358" t="str">
        <f>VLOOKUP($B984,DG!A:D,DG!$C$2,)</f>
        <v>Đầu cosse ép Cu-Al 150mm2</v>
      </c>
      <c r="F984" s="594" t="str">
        <f>VLOOKUP($B984,DG!A:D,DG!$D$2,)</f>
        <v>cái</v>
      </c>
      <c r="G984" s="595">
        <f>[3]pp_NC!EA184</f>
        <v>0</v>
      </c>
      <c r="H984" s="355">
        <f t="shared" si="57"/>
        <v>0</v>
      </c>
      <c r="I984" s="355">
        <f>H984+J984-K984</f>
        <v>0</v>
      </c>
      <c r="J984" s="355"/>
      <c r="K984" s="355"/>
      <c r="L984" s="367"/>
      <c r="M984" s="332"/>
      <c r="N984" s="340"/>
      <c r="O984" s="341"/>
    </row>
    <row r="985" spans="1:15" ht="16.2">
      <c r="A985" s="288"/>
      <c r="B985" s="417" t="s">
        <v>1011</v>
      </c>
      <c r="C985" s="388" t="str">
        <f>IF(OR(I985&lt;&gt;0,H985&lt;&gt;0),"x"," ")</f>
        <v xml:space="preserve"> </v>
      </c>
      <c r="D985" s="338" t="str">
        <f>VLOOKUP($B985,DG!A:D,DG!$B$2,)</f>
        <v>03.4007</v>
      </c>
      <c r="E985" s="358" t="str">
        <f>VLOOKUP($B985,DG!A:D,DG!$C$2,)</f>
        <v>Đầu cosse ép Cu-Al 185mm2</v>
      </c>
      <c r="F985" s="594" t="str">
        <f>VLOOKUP($B985,DG!A:D,DG!$D$2,)</f>
        <v>cái</v>
      </c>
      <c r="G985" s="595"/>
      <c r="H985" s="355">
        <f t="shared" si="57"/>
        <v>0</v>
      </c>
      <c r="I985" s="355">
        <f>H985+J985-K985</f>
        <v>0</v>
      </c>
      <c r="J985" s="355"/>
      <c r="K985" s="355"/>
      <c r="L985" s="367"/>
      <c r="M985" s="332"/>
      <c r="N985" s="340"/>
      <c r="O985" s="341"/>
    </row>
    <row r="986" spans="1:15" ht="16.2">
      <c r="A986" s="288"/>
      <c r="B986" s="417" t="s">
        <v>1012</v>
      </c>
      <c r="C986" s="388" t="str">
        <f>IF(OR(I986&lt;&gt;0,H986&lt;&gt;0),"x"," ")</f>
        <v xml:space="preserve"> </v>
      </c>
      <c r="D986" s="338" t="str">
        <f>VLOOKUP($B986,DG!A:D,DG!$B$2,)</f>
        <v>03.4008</v>
      </c>
      <c r="E986" s="358" t="str">
        <f>VLOOKUP($B986,DG!A:D,DG!$C$2,)</f>
        <v>Đầu cosse ép Cu-Al 240mm2</v>
      </c>
      <c r="F986" s="594" t="str">
        <f>VLOOKUP($B986,DG!A:D,DG!$D$2,)</f>
        <v>cái</v>
      </c>
      <c r="G986" s="595">
        <f>[3]pp_NC!EC95</f>
        <v>0</v>
      </c>
      <c r="H986" s="355">
        <f t="shared" si="57"/>
        <v>0</v>
      </c>
      <c r="I986" s="355">
        <f>H986+J986-K986</f>
        <v>0</v>
      </c>
      <c r="J986" s="355"/>
      <c r="K986" s="355"/>
      <c r="L986" s="367"/>
      <c r="M986" s="332"/>
      <c r="N986" s="340"/>
      <c r="O986" s="341"/>
    </row>
    <row r="987" spans="1:15" ht="16.2">
      <c r="A987" s="288"/>
      <c r="B987" s="417" t="s">
        <v>1013</v>
      </c>
      <c r="C987" s="388" t="str">
        <f>IF(OR(I987&lt;&gt;0,H987&lt;&gt;0),"x"," ")</f>
        <v xml:space="preserve"> </v>
      </c>
      <c r="D987" s="338">
        <f>VLOOKUP($B987,DG!A:D,DG!$B$2,)</f>
        <v>0</v>
      </c>
      <c r="E987" s="358" t="str">
        <f>VLOOKUP($B987,DG!A:D,DG!$C$2,)</f>
        <v>Boulon 12x30</v>
      </c>
      <c r="F987" s="594" t="str">
        <f>VLOOKUP($B987,DG!A:D,DG!$D$2,)</f>
        <v>bộ</v>
      </c>
      <c r="G987" s="595">
        <f>SUM(G981:G986)*2</f>
        <v>0</v>
      </c>
      <c r="H987" s="355">
        <f t="shared" si="57"/>
        <v>0</v>
      </c>
      <c r="I987" s="355">
        <f>H987+J987-K987</f>
        <v>0</v>
      </c>
      <c r="J987" s="355"/>
      <c r="K987" s="355"/>
      <c r="L987" s="367"/>
      <c r="M987" s="332"/>
      <c r="N987" s="340"/>
      <c r="O987" s="341"/>
    </row>
    <row r="988" spans="1:15" ht="16.2">
      <c r="A988" s="288"/>
      <c r="B988" s="417" t="s">
        <v>1001</v>
      </c>
      <c r="C988" s="388" t="str">
        <f>IF(OR(I988&lt;&gt;0,H988&lt;&gt;0),"x"," ")</f>
        <v xml:space="preserve"> </v>
      </c>
      <c r="D988" s="338" t="str">
        <f>VLOOKUP($B988,DG!A:D,DG!$B$2,)</f>
        <v>04.3007</v>
      </c>
      <c r="E988" s="358" t="str">
        <f>VLOOKUP($B988,DG!A:D,DG!$C$2,)</f>
        <v>Kẹp quai 2/0</v>
      </c>
      <c r="F988" s="594" t="str">
        <f>VLOOKUP($B988,DG!A:D,DG!$D$2,)</f>
        <v>cái</v>
      </c>
      <c r="G988" s="595"/>
      <c r="H988" s="355">
        <f t="shared" si="57"/>
        <v>0</v>
      </c>
      <c r="I988" s="355">
        <f>H988+J988-K988</f>
        <v>0</v>
      </c>
      <c r="J988" s="355"/>
      <c r="K988" s="355"/>
      <c r="L988" s="367"/>
      <c r="M988" s="332"/>
      <c r="N988" s="340"/>
      <c r="O988" s="341"/>
    </row>
    <row r="989" spans="1:15" ht="16.2">
      <c r="A989" s="288"/>
      <c r="B989" s="417" t="s">
        <v>1014</v>
      </c>
      <c r="C989" s="388" t="str">
        <f>IF(OR(I989&lt;&gt;0,H989&lt;&gt;0),"x"," ")</f>
        <v xml:space="preserve"> </v>
      </c>
      <c r="D989" s="338" t="str">
        <f>VLOOKUP($B989,DG!A:D,DG!$B$2,)</f>
        <v>04.3007</v>
      </c>
      <c r="E989" s="358" t="str">
        <f>VLOOKUP($B989,DG!A:D,DG!$C$2,)</f>
        <v>Kẹp quai 4/0</v>
      </c>
      <c r="F989" s="594" t="str">
        <f>VLOOKUP($B989,DG!A:D,DG!$D$2,)</f>
        <v>cái</v>
      </c>
      <c r="G989" s="595">
        <f>G988</f>
        <v>0</v>
      </c>
      <c r="H989" s="355">
        <f t="shared" si="57"/>
        <v>0</v>
      </c>
      <c r="I989" s="355">
        <f>H989+J989-K989</f>
        <v>0</v>
      </c>
      <c r="J989" s="355"/>
      <c r="K989" s="355"/>
      <c r="L989" s="367"/>
      <c r="M989" s="332"/>
      <c r="N989" s="340"/>
      <c r="O989" s="341"/>
    </row>
    <row r="990" spans="1:15" ht="16.2">
      <c r="A990" s="288"/>
      <c r="B990" s="421" t="s">
        <v>1002</v>
      </c>
      <c r="C990" s="388" t="str">
        <f>IF(OR(I990&lt;&gt;0,H990&lt;&gt;0),"x"," ")</f>
        <v xml:space="preserve"> </v>
      </c>
      <c r="D990" s="338"/>
      <c r="E990" s="358" t="str">
        <f>VLOOKUP($B990,DG!A:D,DG!$C$2,)</f>
        <v>Kẹp hotline 2/0</v>
      </c>
      <c r="F990" s="594" t="str">
        <f>VLOOKUP($B990,DG!A:D,DG!$D$2,)</f>
        <v>cái</v>
      </c>
      <c r="G990" s="595">
        <f>G988*3/2</f>
        <v>0</v>
      </c>
      <c r="H990" s="355">
        <f t="shared" si="57"/>
        <v>0</v>
      </c>
      <c r="I990" s="355">
        <f>H990+J990-K990</f>
        <v>0</v>
      </c>
      <c r="J990" s="355"/>
      <c r="K990" s="355"/>
      <c r="L990" s="367"/>
      <c r="M990" s="332"/>
      <c r="N990" s="340"/>
      <c r="O990" s="341"/>
    </row>
    <row r="991" spans="1:15" ht="16.2">
      <c r="A991" s="288"/>
      <c r="B991" s="421" t="s">
        <v>1015</v>
      </c>
      <c r="C991" s="388" t="str">
        <f>IF(OR(I991&lt;&gt;0,H991&lt;&gt;0),"x"," ")</f>
        <v xml:space="preserve"> </v>
      </c>
      <c r="D991" s="338"/>
      <c r="E991" s="358" t="str">
        <f>VLOOKUP($B991,DG!A:D,DG!$C$2,)</f>
        <v>Kẹp hotline 4/0</v>
      </c>
      <c r="F991" s="594" t="str">
        <f>VLOOKUP($B991,DG!A:D,DG!$D$2,)</f>
        <v>cái</v>
      </c>
      <c r="G991" s="595">
        <f>[3]pp_NC!BP184</f>
        <v>0</v>
      </c>
      <c r="H991" s="355">
        <f>$G991</f>
        <v>0</v>
      </c>
      <c r="I991" s="355">
        <f>H991+J991-K991</f>
        <v>0</v>
      </c>
      <c r="J991" s="355"/>
      <c r="K991" s="355"/>
      <c r="L991" s="367"/>
      <c r="M991" s="332"/>
      <c r="N991" s="340"/>
      <c r="O991" s="341"/>
    </row>
    <row r="992" spans="1:15" ht="16.2">
      <c r="A992" s="288"/>
      <c r="B992" s="417" t="s">
        <v>1016</v>
      </c>
      <c r="C992" s="388" t="str">
        <f>IF(OR(I992&lt;&gt;0,H992&lt;&gt;0),"x"," ")</f>
        <v xml:space="preserve"> </v>
      </c>
      <c r="D992" s="338"/>
      <c r="E992" s="358" t="str">
        <f>VLOOKUP($B992,DG!A:D,DG!$C$2,)</f>
        <v>Ống nối dây cỡ 50mm2</v>
      </c>
      <c r="F992" s="594" t="str">
        <f>VLOOKUP($B992,DG!A:D,DG!$D$2,)</f>
        <v>cái</v>
      </c>
      <c r="G992" s="595">
        <f>ROUND((D903)*1.03/1500,0)</f>
        <v>0</v>
      </c>
      <c r="H992" s="355">
        <f t="shared" si="57"/>
        <v>0</v>
      </c>
      <c r="I992" s="355">
        <f>H992+J992-K992</f>
        <v>0</v>
      </c>
      <c r="J992" s="355"/>
      <c r="K992" s="355"/>
      <c r="L992" s="367"/>
      <c r="M992" s="332"/>
      <c r="N992" s="340"/>
      <c r="O992" s="341"/>
    </row>
    <row r="993" spans="1:15" ht="16.2">
      <c r="A993" s="288"/>
      <c r="B993" s="417" t="s">
        <v>1017</v>
      </c>
      <c r="C993" s="388" t="str">
        <f>IF(OR(I993&lt;&gt;0,H993&lt;&gt;0),"x"," ")</f>
        <v xml:space="preserve"> </v>
      </c>
      <c r="D993" s="338"/>
      <c r="E993" s="358" t="str">
        <f>VLOOKUP($B993,DG!A:D,DG!$C$2,)</f>
        <v>Ống nối dây cỡ 70mm2</v>
      </c>
      <c r="F993" s="594" t="str">
        <f>VLOOKUP($B993,DG!A:D,DG!$D$2,)</f>
        <v>cái</v>
      </c>
      <c r="G993" s="595">
        <f>ROUND((D902+D910)*1.03/1400,0)</f>
        <v>0</v>
      </c>
      <c r="H993" s="355">
        <f t="shared" ref="H993:H1000" si="60">$G993</f>
        <v>0</v>
      </c>
      <c r="I993" s="355">
        <f>H993+J993-K993</f>
        <v>0</v>
      </c>
      <c r="J993" s="355"/>
      <c r="K993" s="355"/>
      <c r="L993" s="367"/>
      <c r="M993" s="332"/>
      <c r="N993" s="340"/>
      <c r="O993" s="341"/>
    </row>
    <row r="994" spans="1:15" ht="16.2">
      <c r="A994" s="288"/>
      <c r="B994" s="417" t="s">
        <v>1018</v>
      </c>
      <c r="C994" s="388" t="str">
        <f>IF(OR(I994&lt;&gt;0,H994&lt;&gt;0),"x"," ")</f>
        <v xml:space="preserve"> </v>
      </c>
      <c r="D994" s="338"/>
      <c r="E994" s="358" t="str">
        <f>VLOOKUP($B994,DG!A:D,DG!$C$2,)</f>
        <v>Ống nối dây cỡ 95mm2</v>
      </c>
      <c r="F994" s="594" t="str">
        <f>VLOOKUP($B994,DG!A:D,DG!$D$2,)</f>
        <v>cái</v>
      </c>
      <c r="G994" s="595">
        <f>ROUND((D901+D909)*1.03/1200,0)</f>
        <v>0</v>
      </c>
      <c r="H994" s="355">
        <f t="shared" si="60"/>
        <v>0</v>
      </c>
      <c r="I994" s="355">
        <f>H994+J994-K994</f>
        <v>0</v>
      </c>
      <c r="J994" s="355"/>
      <c r="K994" s="355"/>
      <c r="L994" s="367"/>
      <c r="M994" s="332"/>
      <c r="N994" s="340"/>
      <c r="O994" s="341"/>
    </row>
    <row r="995" spans="1:15" ht="16.2">
      <c r="A995" s="288"/>
      <c r="B995" s="417" t="s">
        <v>1019</v>
      </c>
      <c r="C995" s="388" t="str">
        <f>IF(OR(I995&lt;&gt;0,H995&lt;&gt;0),"x"," ")</f>
        <v xml:space="preserve"> </v>
      </c>
      <c r="D995" s="338"/>
      <c r="E995" s="358" t="str">
        <f>VLOOKUP($B995,DG!A:D,DG!$C$2,)</f>
        <v>Ống nối dây cỡ 120mm2</v>
      </c>
      <c r="F995" s="594" t="str">
        <f>VLOOKUP($B995,DG!A:D,DG!$D$2,)</f>
        <v>cái</v>
      </c>
      <c r="G995" s="595">
        <f>ROUND((D900+D908)*1.03/1200,0)</f>
        <v>0</v>
      </c>
      <c r="H995" s="355">
        <f t="shared" si="60"/>
        <v>0</v>
      </c>
      <c r="I995" s="355">
        <f>H995+J995-K995</f>
        <v>0</v>
      </c>
      <c r="J995" s="355"/>
      <c r="K995" s="355"/>
      <c r="L995" s="367"/>
      <c r="M995" s="332"/>
      <c r="N995" s="340"/>
      <c r="O995" s="341"/>
    </row>
    <row r="996" spans="1:15" ht="16.2">
      <c r="A996" s="288"/>
      <c r="B996" s="417" t="s">
        <v>1020</v>
      </c>
      <c r="C996" s="388" t="str">
        <f>IF(OR(I996&lt;&gt;0,H996&lt;&gt;0),"x"," ")</f>
        <v xml:space="preserve"> </v>
      </c>
      <c r="D996" s="338"/>
      <c r="E996" s="358" t="str">
        <f>VLOOKUP($B996,DG!A:D,DG!$C$2,)</f>
        <v>Ống nối dây cỡ 150mm2</v>
      </c>
      <c r="F996" s="594" t="str">
        <f>VLOOKUP($B996,DG!A:D,DG!$D$2,)</f>
        <v>cái</v>
      </c>
      <c r="G996" s="595">
        <f>ROUND((D899+D907)*1.03/1200,0)</f>
        <v>0</v>
      </c>
      <c r="H996" s="355">
        <f t="shared" si="60"/>
        <v>0</v>
      </c>
      <c r="I996" s="355">
        <f>H996+J996-K996</f>
        <v>0</v>
      </c>
      <c r="J996" s="355"/>
      <c r="K996" s="355"/>
      <c r="L996" s="367"/>
      <c r="M996" s="332"/>
      <c r="N996" s="340"/>
      <c r="O996" s="341"/>
    </row>
    <row r="997" spans="1:15" ht="16.2">
      <c r="A997" s="288"/>
      <c r="B997" s="417" t="s">
        <v>1021</v>
      </c>
      <c r="C997" s="388" t="str">
        <f>IF(OR(I997&lt;&gt;0,H997&lt;&gt;0),"x"," ")</f>
        <v xml:space="preserve"> </v>
      </c>
      <c r="D997" s="338"/>
      <c r="E997" s="358" t="str">
        <f>VLOOKUP($B997,DG!A:D,DG!$C$2,)</f>
        <v>Ống nối dây cỡ 185mm2</v>
      </c>
      <c r="F997" s="594" t="str">
        <f>VLOOKUP($B997,DG!A:D,DG!$D$2,)</f>
        <v>cái</v>
      </c>
      <c r="G997" s="595">
        <f>ROUND((D898+D906)*1.03/1200,0)</f>
        <v>0</v>
      </c>
      <c r="H997" s="355">
        <f t="shared" si="60"/>
        <v>0</v>
      </c>
      <c r="I997" s="355">
        <f>H997+J997-K997</f>
        <v>0</v>
      </c>
      <c r="J997" s="355"/>
      <c r="K997" s="355"/>
      <c r="L997" s="367"/>
      <c r="M997" s="332"/>
      <c r="N997" s="340"/>
      <c r="O997" s="341"/>
    </row>
    <row r="998" spans="1:15" ht="16.2">
      <c r="A998" s="288"/>
      <c r="B998" s="417" t="s">
        <v>1022</v>
      </c>
      <c r="C998" s="388" t="str">
        <f>IF(OR(I998&lt;&gt;0,H998&lt;&gt;0),"x"," ")</f>
        <v xml:space="preserve"> </v>
      </c>
      <c r="D998" s="338"/>
      <c r="E998" s="358" t="str">
        <f>VLOOKUP($B998,DG!A:D,DG!$C$2,)</f>
        <v>Ống nối dây cỡ 240mm2</v>
      </c>
      <c r="F998" s="594" t="str">
        <f>VLOOKUP($B998,DG!A:D,DG!$D$2,)</f>
        <v>cái</v>
      </c>
      <c r="G998" s="595">
        <f>ROUND((D897+D905)*1.03/1200,0)</f>
        <v>0</v>
      </c>
      <c r="H998" s="355">
        <f t="shared" si="60"/>
        <v>0</v>
      </c>
      <c r="I998" s="355">
        <f>H998+J998-K998</f>
        <v>0</v>
      </c>
      <c r="J998" s="355"/>
      <c r="K998" s="355"/>
      <c r="L998" s="367"/>
      <c r="M998" s="332"/>
      <c r="N998" s="340"/>
      <c r="O998" s="341"/>
    </row>
    <row r="999" spans="1:15" ht="16.2">
      <c r="A999" s="384"/>
      <c r="B999" s="420" t="s">
        <v>1023</v>
      </c>
      <c r="C999" s="388" t="str">
        <f>IF(OR(I999&lt;&gt;0,H999&lt;&gt;0),"x"," ")</f>
        <v xml:space="preserve"> </v>
      </c>
      <c r="D999" s="338"/>
      <c r="E999" s="358" t="str">
        <f>VLOOKUP($B999,DG!A:D,DG!$C$2,)</f>
        <v xml:space="preserve">Dây nhôm buộc </v>
      </c>
      <c r="F999" s="594" t="str">
        <f>VLOOKUP($B999,DG!A:D,DG!$D$2,)</f>
        <v>kg</v>
      </c>
      <c r="G999" s="595"/>
      <c r="H999" s="355">
        <f>$G999</f>
        <v>0</v>
      </c>
      <c r="I999" s="355">
        <f>H999+J999-K999</f>
        <v>0</v>
      </c>
      <c r="J999" s="355"/>
      <c r="K999" s="355"/>
      <c r="L999" s="367"/>
      <c r="M999" s="339"/>
      <c r="N999" s="340"/>
      <c r="O999" s="341"/>
    </row>
    <row r="1000" spans="1:15" ht="16.2">
      <c r="A1000" s="288"/>
      <c r="B1000" s="417" t="s">
        <v>1024</v>
      </c>
      <c r="C1000" s="388" t="str">
        <f>IF(OR(I1000&lt;&gt;0,H1000&lt;&gt;0),"x"," ")</f>
        <v xml:space="preserve"> </v>
      </c>
      <c r="D1000" s="338"/>
      <c r="E1000" s="358" t="str">
        <f>VLOOKUP($B1000,DG!A:D,DG!$C$2,)</f>
        <v>Biển số - Bảng nguy hiểm</v>
      </c>
      <c r="F1000" s="594" t="str">
        <f>VLOOKUP($B1000,DG!A:D,DG!$D$2,)</f>
        <v>cái</v>
      </c>
      <c r="G1000" s="595"/>
      <c r="H1000" s="355">
        <f t="shared" si="60"/>
        <v>0</v>
      </c>
      <c r="I1000" s="355">
        <f>H1000+J1000-K1000</f>
        <v>0</v>
      </c>
      <c r="J1000" s="355"/>
      <c r="K1000" s="355"/>
      <c r="L1000" s="367"/>
      <c r="M1000" s="332"/>
      <c r="N1000" s="340"/>
      <c r="O1000" s="341"/>
    </row>
    <row r="1001" spans="1:15" ht="16.2">
      <c r="A1001" s="288"/>
      <c r="B1001" s="417" t="s">
        <v>1025</v>
      </c>
      <c r="C1001" s="388" t="str">
        <f>IF(OR(I1001&lt;&gt;0,H1001&lt;&gt;0),"x"," ")</f>
        <v xml:space="preserve"> </v>
      </c>
      <c r="D1001" s="338" t="str">
        <f>VLOOKUP($B1001,DG!A:D,DG!$B$2,)</f>
        <v>06.6114</v>
      </c>
      <c r="E1001" s="358" t="s">
        <v>1026</v>
      </c>
      <c r="F1001" s="594" t="str">
        <f>VLOOKUP($B1001,DG!A:D,DG!$D$2,)</f>
        <v>km</v>
      </c>
      <c r="G1001" s="595"/>
      <c r="H1001" s="355"/>
      <c r="I1001" s="355">
        <f>H1001+J1001-K1001</f>
        <v>0</v>
      </c>
      <c r="J1001" s="355"/>
      <c r="K1001" s="355"/>
      <c r="L1001" s="367"/>
      <c r="M1001" s="332"/>
      <c r="N1001" s="340"/>
      <c r="O1001" s="341"/>
    </row>
    <row r="1002" spans="1:15" ht="16.2">
      <c r="A1002" s="288"/>
      <c r="B1002" s="417" t="s">
        <v>1027</v>
      </c>
      <c r="C1002" s="388" t="str">
        <f>IF(OR(I1002&lt;&gt;0,H1002&lt;&gt;0),"x"," ")</f>
        <v xml:space="preserve"> </v>
      </c>
      <c r="D1002" s="338" t="str">
        <f>VLOOKUP($B1002,DG!A:D,DG!$B$2,)</f>
        <v>06.6105</v>
      </c>
      <c r="E1002" s="366" t="str">
        <f>VLOOKUP($B1002,DG!A:D,DG!$C$2,)</f>
        <v>Kéo dây nhôm lõi thép cỡ dây 70mm2</v>
      </c>
      <c r="F1002" s="594" t="str">
        <f>VLOOKUP($B1002,DG!A:D,DG!$D$2,)</f>
        <v>km</v>
      </c>
      <c r="G1002" s="595">
        <f>(D902)/1000</f>
        <v>0</v>
      </c>
      <c r="H1002" s="355"/>
      <c r="I1002" s="355">
        <f>H1002+J1002-K1002</f>
        <v>0</v>
      </c>
      <c r="J1002" s="355"/>
      <c r="K1002" s="355"/>
      <c r="L1002" s="367"/>
      <c r="M1002" s="332"/>
      <c r="N1002" s="340"/>
      <c r="O1002" s="341"/>
    </row>
    <row r="1003" spans="1:15" ht="16.2">
      <c r="A1003" s="288"/>
      <c r="B1003" s="417" t="s">
        <v>1028</v>
      </c>
      <c r="C1003" s="388" t="str">
        <f>IF(OR(I1003&lt;&gt;0,H1003&lt;&gt;0),"x"," ")</f>
        <v xml:space="preserve"> </v>
      </c>
      <c r="D1003" s="338" t="str">
        <f>VLOOKUP($B1003,DG!A:D,DG!$B$2,)</f>
        <v>06.6106</v>
      </c>
      <c r="E1003" s="366" t="str">
        <f>VLOOKUP($B1003,DG!A:D,DG!$C$2,)</f>
        <v>Kéo dây nhôm lõi thép cỡ dây 95mm2</v>
      </c>
      <c r="F1003" s="594" t="str">
        <f>VLOOKUP($B1003,DG!A:D,DG!$D$2,)</f>
        <v>km</v>
      </c>
      <c r="G1003" s="595">
        <f>(D901)/1000</f>
        <v>0</v>
      </c>
      <c r="H1003" s="355"/>
      <c r="I1003" s="355">
        <f>H1003+J1003-K1003</f>
        <v>0</v>
      </c>
      <c r="J1003" s="355"/>
      <c r="K1003" s="355"/>
      <c r="L1003" s="367"/>
      <c r="M1003" s="332"/>
      <c r="N1003" s="340"/>
      <c r="O1003" s="341"/>
    </row>
    <row r="1004" spans="1:15" ht="16.2">
      <c r="A1004" s="288"/>
      <c r="B1004" s="417" t="s">
        <v>1029</v>
      </c>
      <c r="C1004" s="388" t="str">
        <f>IF(OR(I1004&lt;&gt;0,H1004&lt;&gt;0),"x"," ")</f>
        <v xml:space="preserve"> </v>
      </c>
      <c r="D1004" s="338" t="str">
        <f>VLOOKUP($B1004,DG!A:D,DG!$B$2,)</f>
        <v>06.6107</v>
      </c>
      <c r="E1004" s="366" t="str">
        <f>VLOOKUP($B1004,DG!A:D,DG!$C$2,)</f>
        <v>Kéo dây nhôm lõi thép cỡ dây 120mm2</v>
      </c>
      <c r="F1004" s="594" t="str">
        <f>VLOOKUP($B1004,DG!A:D,DG!$D$2,)</f>
        <v>km</v>
      </c>
      <c r="G1004" s="595">
        <f>(D900)/1000</f>
        <v>0</v>
      </c>
      <c r="H1004" s="355"/>
      <c r="I1004" s="355">
        <f>H1004+J1004-K1004</f>
        <v>0</v>
      </c>
      <c r="J1004" s="355"/>
      <c r="K1004" s="355"/>
      <c r="L1004" s="367"/>
      <c r="M1004" s="332"/>
      <c r="N1004" s="340"/>
      <c r="O1004" s="341"/>
    </row>
    <row r="1005" spans="1:15" ht="16.2">
      <c r="A1005" s="288"/>
      <c r="B1005" s="417" t="s">
        <v>1030</v>
      </c>
      <c r="C1005" s="388" t="str">
        <f>IF(OR(I1005&lt;&gt;0,H1005&lt;&gt;0),"x"," ")</f>
        <v xml:space="preserve"> </v>
      </c>
      <c r="D1005" s="338" t="str">
        <f>VLOOKUP($B1005,DG!A:D,DG!$B$2,)</f>
        <v>06.6108</v>
      </c>
      <c r="E1005" s="366" t="str">
        <f>VLOOKUP($B1005,DG!A:D,DG!$C$2,)</f>
        <v>Kéo dây nhôm lõi thép cỡ dây 150mm2</v>
      </c>
      <c r="F1005" s="594" t="str">
        <f>VLOOKUP($B1005,DG!A:D,DG!$D$2,)</f>
        <v>km</v>
      </c>
      <c r="G1005" s="595">
        <f>(D899)/1000</f>
        <v>0</v>
      </c>
      <c r="H1005" s="355"/>
      <c r="I1005" s="355">
        <f>H1005+J1005-K1005</f>
        <v>0</v>
      </c>
      <c r="J1005" s="355"/>
      <c r="K1005" s="355"/>
      <c r="L1005" s="367"/>
      <c r="M1005" s="332"/>
      <c r="N1005" s="340"/>
      <c r="O1005" s="341"/>
    </row>
    <row r="1006" spans="1:15" ht="16.2">
      <c r="A1006" s="384"/>
      <c r="B1006" s="420" t="s">
        <v>1031</v>
      </c>
      <c r="C1006" s="388" t="str">
        <f>IF(OR(I1006&lt;&gt;0,H1006&lt;&gt;0),"x"," ")</f>
        <v xml:space="preserve"> </v>
      </c>
      <c r="D1006" s="338" t="str">
        <f>VLOOKUP($B1006,DG!A:D,DG!$B$2,)</f>
        <v>06.6114</v>
      </c>
      <c r="E1006" s="366" t="str">
        <f>VLOOKUP($B1006,DG!A:D,DG!$C$2,)</f>
        <v>Kéo dây nhôm bọc cỡ dây 50mm2</v>
      </c>
      <c r="F1006" s="594" t="str">
        <f>VLOOKUP($B1006,DG!A:D,DG!$D$2,)</f>
        <v>km</v>
      </c>
      <c r="G1006" s="595"/>
      <c r="H1006" s="355">
        <f>$G1006</f>
        <v>0</v>
      </c>
      <c r="I1006" s="355">
        <f>H1006+J1006-K1006</f>
        <v>0</v>
      </c>
      <c r="J1006" s="355"/>
      <c r="K1006" s="355"/>
      <c r="L1006" s="367"/>
      <c r="M1006" s="339"/>
      <c r="N1006" s="340"/>
      <c r="O1006" s="341"/>
    </row>
    <row r="1007" spans="1:15" ht="16.2">
      <c r="A1007" s="288"/>
      <c r="B1007" s="417" t="s">
        <v>1032</v>
      </c>
      <c r="C1007" s="388" t="str">
        <f>IF(OR(I1007&lt;&gt;0,H1007&lt;&gt;0),"x"," ")</f>
        <v xml:space="preserve"> </v>
      </c>
      <c r="D1007" s="338" t="str">
        <f>VLOOKUP($B1007,DG!A:D,DG!$B$2,)</f>
        <v>06.6109</v>
      </c>
      <c r="E1007" s="366" t="str">
        <f>VLOOKUP($B1007,DG!A:D,DG!$C$2,)</f>
        <v>Kéo dây nhôm lõi thép cỡ dây 185mm2</v>
      </c>
      <c r="F1007" s="594" t="str">
        <f>VLOOKUP($B1007,DG!A:D,DG!$D$2,)</f>
        <v>km</v>
      </c>
      <c r="G1007" s="595">
        <f>(D898)/1000</f>
        <v>0</v>
      </c>
      <c r="H1007" s="355"/>
      <c r="I1007" s="355">
        <f>H1007+J1007-K1007</f>
        <v>0</v>
      </c>
      <c r="J1007" s="355"/>
      <c r="K1007" s="355"/>
      <c r="L1007" s="367"/>
      <c r="M1007" s="332"/>
      <c r="N1007" s="340"/>
      <c r="O1007" s="341"/>
    </row>
    <row r="1008" spans="1:15" ht="16.2">
      <c r="A1008" s="288"/>
      <c r="B1008" s="417" t="s">
        <v>1033</v>
      </c>
      <c r="C1008" s="388" t="str">
        <f>IF(OR(I1008&lt;&gt;0,H1008&lt;&gt;0),"x"," ")</f>
        <v xml:space="preserve"> </v>
      </c>
      <c r="D1008" s="338" t="str">
        <f>VLOOKUP($B1008,DG!A:D,DG!$B$2,)</f>
        <v>06.6110</v>
      </c>
      <c r="E1008" s="366" t="str">
        <f>VLOOKUP($B1008,DG!A:D,DG!$C$2,)</f>
        <v>Kéo dây nhôm lõi thép cỡ dây 240mm2</v>
      </c>
      <c r="F1008" s="594" t="str">
        <f>VLOOKUP($B1008,DG!A:D,DG!$D$2,)</f>
        <v>km</v>
      </c>
      <c r="G1008" s="595">
        <f>(D897)/1000</f>
        <v>0</v>
      </c>
      <c r="H1008" s="355"/>
      <c r="I1008" s="355">
        <f>H1008+J1008-K1008</f>
        <v>0</v>
      </c>
      <c r="J1008" s="355"/>
      <c r="K1008" s="355"/>
      <c r="L1008" s="367"/>
      <c r="M1008" s="332"/>
      <c r="N1008" s="340"/>
      <c r="O1008" s="341"/>
    </row>
    <row r="1009" spans="1:15" ht="16.2">
      <c r="A1009" s="288"/>
      <c r="B1009" s="417" t="s">
        <v>1034</v>
      </c>
      <c r="C1009" s="388" t="str">
        <f>IF(OR(I1009&lt;&gt;0,H1009&lt;&gt;0),"x"," ")</f>
        <v xml:space="preserve"> </v>
      </c>
      <c r="D1009" s="338" t="str">
        <f>VLOOKUP($B1009,DG!A:D,DG!$B$2,)</f>
        <v>06.6105</v>
      </c>
      <c r="E1009" s="366" t="str">
        <f>VLOOKUP($B1009,DG!A:D,DG!$C$2,)</f>
        <v>Kéo dây nhôm bọc 70mm2</v>
      </c>
      <c r="F1009" s="594" t="str">
        <f>VLOOKUP($B1009,DG!A:D,DG!$D$2,)</f>
        <v>km</v>
      </c>
      <c r="G1009" s="595">
        <f>D910/1000</f>
        <v>0</v>
      </c>
      <c r="H1009" s="355"/>
      <c r="I1009" s="355">
        <f>H1009+J1009-K1009</f>
        <v>0</v>
      </c>
      <c r="J1009" s="355"/>
      <c r="K1009" s="355"/>
      <c r="L1009" s="367"/>
      <c r="M1009" s="332"/>
      <c r="N1009" s="340"/>
      <c r="O1009" s="341"/>
    </row>
    <row r="1010" spans="1:15" ht="16.2">
      <c r="A1010" s="288"/>
      <c r="B1010" s="417" t="s">
        <v>1035</v>
      </c>
      <c r="C1010" s="388" t="str">
        <f>IF(OR(I1010&lt;&gt;0,H1010&lt;&gt;0),"x"," ")</f>
        <v xml:space="preserve"> </v>
      </c>
      <c r="D1010" s="338" t="str">
        <f>VLOOKUP($B1010,DG!A:D,DG!$B$2,)</f>
        <v>06.6106</v>
      </c>
      <c r="E1010" s="366" t="str">
        <f>VLOOKUP($B1010,DG!A:D,DG!$C$2,)</f>
        <v>Kéo dây nhôm bọc 95mm2</v>
      </c>
      <c r="F1010" s="594" t="str">
        <f>VLOOKUP($B1010,DG!A:D,DG!$D$2,)</f>
        <v>km</v>
      </c>
      <c r="G1010" s="595">
        <f>D909/1000</f>
        <v>0</v>
      </c>
      <c r="H1010" s="355"/>
      <c r="I1010" s="355">
        <f>H1010+J1010-K1010</f>
        <v>0</v>
      </c>
      <c r="J1010" s="355"/>
      <c r="K1010" s="355"/>
      <c r="L1010" s="367"/>
      <c r="M1010" s="332"/>
      <c r="N1010" s="340"/>
      <c r="O1010" s="341"/>
    </row>
    <row r="1011" spans="1:15" ht="16.2">
      <c r="A1011" s="288"/>
      <c r="B1011" s="417" t="s">
        <v>1036</v>
      </c>
      <c r="C1011" s="388" t="str">
        <f>IF(OR(I1011&lt;&gt;0,H1011&lt;&gt;0),"x"," ")</f>
        <v xml:space="preserve"> </v>
      </c>
      <c r="D1011" s="338" t="str">
        <f>VLOOKUP($B1011,DG!A:D,DG!$B$2,)</f>
        <v>06.6107</v>
      </c>
      <c r="E1011" s="366" t="str">
        <f>VLOOKUP($B1011,DG!A:D,DG!$C$2,)</f>
        <v>Kéo dây nhôm bọc 120mm2</v>
      </c>
      <c r="F1011" s="594" t="str">
        <f>VLOOKUP($B1011,DG!A:D,DG!$D$2,)</f>
        <v>km</v>
      </c>
      <c r="G1011" s="595">
        <f>D908/1000</f>
        <v>0</v>
      </c>
      <c r="H1011" s="355"/>
      <c r="I1011" s="355">
        <f>H1011+J1011-K1011</f>
        <v>0</v>
      </c>
      <c r="J1011" s="355"/>
      <c r="K1011" s="355"/>
      <c r="L1011" s="367"/>
      <c r="M1011" s="332"/>
      <c r="N1011" s="340"/>
      <c r="O1011" s="341"/>
    </row>
    <row r="1012" spans="1:15" ht="16.2">
      <c r="A1012" s="288"/>
      <c r="B1012" s="417" t="s">
        <v>1037</v>
      </c>
      <c r="C1012" s="388" t="str">
        <f>IF(OR(I1012&lt;&gt;0,H1012&lt;&gt;0),"x"," ")</f>
        <v xml:space="preserve"> </v>
      </c>
      <c r="D1012" s="338" t="str">
        <f>VLOOKUP($B1012,DG!A:D,DG!$B$2,)</f>
        <v>06.6108</v>
      </c>
      <c r="E1012" s="366" t="str">
        <f>VLOOKUP($B1012,DG!A:D,DG!$C$2,)</f>
        <v>Kéo dây nhôm bọc 150mm2</v>
      </c>
      <c r="F1012" s="594" t="str">
        <f>VLOOKUP($B1012,DG!A:D,DG!$D$2,)</f>
        <v>km</v>
      </c>
      <c r="G1012" s="595">
        <f>D907/1000</f>
        <v>0</v>
      </c>
      <c r="H1012" s="355"/>
      <c r="I1012" s="355">
        <f>H1012+J1012-K1012</f>
        <v>0</v>
      </c>
      <c r="J1012" s="355"/>
      <c r="K1012" s="355"/>
      <c r="L1012" s="367"/>
      <c r="M1012" s="332"/>
      <c r="N1012" s="340"/>
      <c r="O1012" s="341"/>
    </row>
    <row r="1013" spans="1:15" ht="16.2">
      <c r="A1013" s="288"/>
      <c r="B1013" s="417" t="s">
        <v>1038</v>
      </c>
      <c r="C1013" s="388" t="str">
        <f>IF(OR(I1013&lt;&gt;0,H1013&lt;&gt;0),"x"," ")</f>
        <v xml:space="preserve"> </v>
      </c>
      <c r="D1013" s="338" t="str">
        <f>VLOOKUP($B1013,DG!A:D,DG!$B$2,)</f>
        <v>06.6109</v>
      </c>
      <c r="E1013" s="366" t="str">
        <f>VLOOKUP($B1013,DG!A:D,DG!$C$2,)</f>
        <v>Kéo dây nhôm bọc 185mm2</v>
      </c>
      <c r="F1013" s="594" t="str">
        <f>VLOOKUP($B1013,DG!A:D,DG!$D$2,)</f>
        <v>km</v>
      </c>
      <c r="G1013" s="595">
        <f>D906/1000</f>
        <v>0</v>
      </c>
      <c r="H1013" s="355"/>
      <c r="I1013" s="355">
        <f>H1013+J1013-K1013</f>
        <v>0</v>
      </c>
      <c r="J1013" s="355"/>
      <c r="K1013" s="355"/>
      <c r="L1013" s="367"/>
      <c r="M1013" s="332"/>
      <c r="N1013" s="340"/>
      <c r="O1013" s="341"/>
    </row>
    <row r="1014" spans="1:15" ht="16.2">
      <c r="A1014" s="288"/>
      <c r="B1014" s="417" t="s">
        <v>1039</v>
      </c>
      <c r="C1014" s="388" t="str">
        <f>IF(OR(I1014&lt;&gt;0,H1014&lt;&gt;0),"x"," ")</f>
        <v xml:space="preserve"> </v>
      </c>
      <c r="D1014" s="338" t="str">
        <f>VLOOKUP($B1014,DG!A:D,DG!$B$2,)</f>
        <v>06.6110</v>
      </c>
      <c r="E1014" s="366" t="str">
        <f>VLOOKUP($B1014,DG!A:D,DG!$C$2,)</f>
        <v>Kéo dây nhôm bọc 240mm2</v>
      </c>
      <c r="F1014" s="594" t="str">
        <f>VLOOKUP($B1014,DG!A:D,DG!$D$2,)</f>
        <v>km</v>
      </c>
      <c r="G1014" s="595">
        <f>D905/1000</f>
        <v>0</v>
      </c>
      <c r="H1014" s="355"/>
      <c r="I1014" s="355">
        <f>H1014+J1014-K1014</f>
        <v>0</v>
      </c>
      <c r="J1014" s="355"/>
      <c r="K1014" s="355"/>
      <c r="L1014" s="367"/>
      <c r="M1014" s="332"/>
      <c r="N1014" s="340"/>
      <c r="O1014" s="341"/>
    </row>
    <row r="1015" spans="1:15" ht="16.2">
      <c r="A1015" s="288"/>
      <c r="B1015" s="417" t="s">
        <v>1040</v>
      </c>
      <c r="C1015" s="388" t="str">
        <f>IF(OR(I1015&lt;&gt;0,H1015&lt;&gt;0),"x"," ")</f>
        <v xml:space="preserve"> </v>
      </c>
      <c r="D1015" s="338" t="str">
        <f>VLOOKUP($B1015,DG!A:D,DG!$B$2,)</f>
        <v>06.1410</v>
      </c>
      <c r="E1015" s="366" t="str">
        <f>VLOOKUP($B1015,DG!A:D,DG!$C$2,)</f>
        <v>Lắp chuỗi sứ đỡ 2 bát/chuỗi</v>
      </c>
      <c r="F1015" s="594" t="str">
        <f>VLOOKUP($B1015,DG!A:D,DG!$D$2,)</f>
        <v>chuỗi</v>
      </c>
      <c r="G1015" s="595">
        <f>SUM(G957:G958)</f>
        <v>0</v>
      </c>
      <c r="H1015" s="355"/>
      <c r="I1015" s="355">
        <f>H1015+J1015-K1015</f>
        <v>0</v>
      </c>
      <c r="J1015" s="355"/>
      <c r="K1015" s="355"/>
      <c r="L1015" s="367"/>
      <c r="M1015" s="332"/>
      <c r="N1015" s="340"/>
      <c r="O1015" s="341"/>
    </row>
    <row r="1016" spans="1:15" ht="16.2">
      <c r="A1016" s="288"/>
      <c r="B1016" s="417" t="s">
        <v>1041</v>
      </c>
      <c r="C1016" s="388" t="str">
        <f>IF(OR(I1016&lt;&gt;0,H1016&lt;&gt;0),"x"," ")</f>
        <v xml:space="preserve"> </v>
      </c>
      <c r="D1016" s="338" t="str">
        <f>VLOOKUP($B1016,DG!A:D,DG!$B$2,)</f>
        <v>06.1511</v>
      </c>
      <c r="E1016" s="366" t="str">
        <f>VLOOKUP($B1016,DG!A:D,DG!$C$2,)</f>
        <v>Lắp chuỗi sứ néo 2 bát/chuỗi</v>
      </c>
      <c r="F1016" s="594" t="str">
        <f>VLOOKUP($B1016,DG!A:D,DG!$D$2,)</f>
        <v>chuỗi</v>
      </c>
      <c r="G1016" s="595">
        <f>+G939+G945-G1015</f>
        <v>0</v>
      </c>
      <c r="H1016" s="355"/>
      <c r="I1016" s="355">
        <f>H1016+J1016-K1016</f>
        <v>0</v>
      </c>
      <c r="J1016" s="355"/>
      <c r="K1016" s="355"/>
      <c r="L1016" s="367"/>
      <c r="M1016" s="332"/>
      <c r="N1016" s="340"/>
      <c r="O1016" s="341"/>
    </row>
    <row r="1017" spans="1:15" ht="16.2">
      <c r="A1017" s="288"/>
      <c r="B1017" s="417" t="s">
        <v>1042</v>
      </c>
      <c r="C1017" s="388" t="str">
        <f>IF(OR(I1017&lt;&gt;0,H1017&lt;&gt;0),"x"," ")</f>
        <v xml:space="preserve"> </v>
      </c>
      <c r="D1017" s="338" t="str">
        <f>VLOOKUP($B1017,DG!A:D,DG!$B$2,)</f>
        <v>06.2201</v>
      </c>
      <c r="E1017" s="366" t="s">
        <v>1043</v>
      </c>
      <c r="F1017" s="594" t="str">
        <f>VLOOKUP($B1017,DG!A:D,DG!$D$2,)</f>
        <v>chuỗi</v>
      </c>
      <c r="G1017" s="595"/>
      <c r="H1017" s="355"/>
      <c r="I1017" s="355">
        <f>H1017+J1017-K1017</f>
        <v>0</v>
      </c>
      <c r="J1017" s="355"/>
      <c r="K1017" s="355"/>
      <c r="L1017" s="367"/>
      <c r="M1017" s="332"/>
      <c r="N1017" s="340"/>
      <c r="O1017" s="341"/>
    </row>
    <row r="1018" spans="1:15" ht="16.2">
      <c r="A1018" s="384"/>
      <c r="B1018" s="420" t="s">
        <v>1042</v>
      </c>
      <c r="C1018" s="388" t="str">
        <f>IF(OR(I1018&lt;&gt;0,H1018&lt;&gt;0),"x"," ")</f>
        <v xml:space="preserve"> </v>
      </c>
      <c r="D1018" s="338" t="str">
        <f>VLOOKUP($B1018,DG!A:D,DG!$B$2,)</f>
        <v>06.2201</v>
      </c>
      <c r="E1018" s="366" t="str">
        <f>VLOOKUP($B1018,DG!A:D,DG!$C$2,)</f>
        <v>Lắp chuỗi sứ néo Polymer</v>
      </c>
      <c r="F1018" s="594" t="str">
        <f>VLOOKUP($B1018,DG!A:D,DG!$D$2,)</f>
        <v>chuỗi</v>
      </c>
      <c r="G1018" s="595"/>
      <c r="H1018" s="355">
        <f>$G1018</f>
        <v>0</v>
      </c>
      <c r="I1018" s="355">
        <f>H1018+J1018-K1018</f>
        <v>0</v>
      </c>
      <c r="J1018" s="355"/>
      <c r="K1018" s="355"/>
      <c r="L1018" s="367"/>
      <c r="M1018" s="339"/>
      <c r="N1018" s="340"/>
      <c r="O1018" s="341"/>
    </row>
    <row r="1019" spans="1:15" ht="16.2">
      <c r="A1019" s="384"/>
      <c r="B1019" s="420" t="s">
        <v>1044</v>
      </c>
      <c r="C1019" s="388" t="str">
        <f>IF(OR(I1019&lt;&gt;0,H1019&lt;&gt;0),"x"," ")</f>
        <v xml:space="preserve"> </v>
      </c>
      <c r="D1019" s="338" t="str">
        <f>VLOOKUP($B1019,DG!A:D,DG!$B$2,)</f>
        <v>06.1115</v>
      </c>
      <c r="E1019" s="366" t="s">
        <v>1045</v>
      </c>
      <c r="F1019" s="594" t="str">
        <f>VLOOKUP($B1019,DG!A:D,DG!$D$2,)</f>
        <v>bộ</v>
      </c>
      <c r="G1019" s="595">
        <f>G928</f>
        <v>0</v>
      </c>
      <c r="H1019" s="355">
        <f>$G1019</f>
        <v>0</v>
      </c>
      <c r="I1019" s="355">
        <f>H1019+J1019-K1019</f>
        <v>0</v>
      </c>
      <c r="J1019" s="355"/>
      <c r="K1019" s="355"/>
      <c r="L1019" s="367"/>
      <c r="M1019" s="339"/>
      <c r="N1019" s="340"/>
      <c r="O1019" s="341"/>
    </row>
    <row r="1020" spans="1:15" ht="16.2">
      <c r="A1020" s="288"/>
      <c r="B1020" s="417" t="s">
        <v>1046</v>
      </c>
      <c r="C1020" s="388" t="str">
        <f>IF(OR(I1020&lt;&gt;0,H1020&lt;&gt;0),"x"," ")</f>
        <v xml:space="preserve"> </v>
      </c>
      <c r="D1020" s="338" t="str">
        <f>VLOOKUP($B1020,DG!A:D,DG!$B$2,)</f>
        <v>06.1211</v>
      </c>
      <c r="E1020" s="366" t="s">
        <v>1047</v>
      </c>
      <c r="F1020" s="594" t="str">
        <f>VLOOKUP($B1020,DG!A:D,DG!$D$2,)</f>
        <v>bộ</v>
      </c>
      <c r="G1020" s="595"/>
      <c r="H1020" s="355"/>
      <c r="I1020" s="355">
        <f>H1020+J1020-K1020</f>
        <v>0</v>
      </c>
      <c r="J1020" s="355"/>
      <c r="K1020" s="355"/>
      <c r="L1020" s="367"/>
      <c r="M1020" s="332"/>
      <c r="N1020" s="340"/>
      <c r="O1020" s="341"/>
    </row>
    <row r="1021" spans="1:15" ht="16.2">
      <c r="A1021" s="288"/>
      <c r="B1021" s="417" t="s">
        <v>1048</v>
      </c>
      <c r="C1021" s="388" t="str">
        <f>IF(OR(I1021&lt;&gt;0,H1021&lt;&gt;0),"x"," ")</f>
        <v xml:space="preserve"> </v>
      </c>
      <c r="D1021" s="338" t="str">
        <f>VLOOKUP($B1021,DG!A:D,DG!$B$2,)</f>
        <v>06.1214</v>
      </c>
      <c r="E1021" s="366" t="s">
        <v>1049</v>
      </c>
      <c r="F1021" s="594" t="str">
        <f>VLOOKUP($B1021,DG!A:D,DG!$D$2,)</f>
        <v>bộ</v>
      </c>
      <c r="G1021" s="595"/>
      <c r="H1021" s="355"/>
      <c r="I1021" s="355">
        <f>H1021+J1021-K1021</f>
        <v>0</v>
      </c>
      <c r="J1021" s="355"/>
      <c r="K1021" s="355"/>
      <c r="L1021" s="367"/>
      <c r="M1021" s="332"/>
      <c r="N1021" s="340"/>
      <c r="O1021" s="341"/>
    </row>
    <row r="1022" spans="1:15" ht="16.2">
      <c r="A1022" s="288"/>
      <c r="B1022" s="417" t="s">
        <v>1050</v>
      </c>
      <c r="C1022" s="388" t="str">
        <f>IF(OR(I1022&lt;&gt;0,H1022&lt;&gt;0),"x"," ")</f>
        <v xml:space="preserve"> </v>
      </c>
      <c r="D1022" s="338" t="str">
        <f>VLOOKUP($B1022,DG!A:D,DG!$B$2,)</f>
        <v>02.3505</v>
      </c>
      <c r="E1022" s="366" t="s">
        <v>1051</v>
      </c>
      <c r="F1022" s="594" t="str">
        <f>VLOOKUP($B1022,DG!A:D,DG!$D$2,)</f>
        <v>cái</v>
      </c>
      <c r="G1022" s="595"/>
      <c r="H1022" s="355"/>
      <c r="I1022" s="355">
        <f>H1022+J1022-K1022</f>
        <v>0</v>
      </c>
      <c r="J1022" s="355"/>
      <c r="K1022" s="355"/>
      <c r="L1022" s="367"/>
      <c r="M1022" s="332"/>
      <c r="N1022" s="340"/>
      <c r="O1022" s="341"/>
    </row>
    <row r="1023" spans="1:15" ht="16.2">
      <c r="A1023" s="288"/>
      <c r="B1023" s="417" t="s">
        <v>1050</v>
      </c>
      <c r="C1023" s="388" t="str">
        <f>IF(OR(I1023&lt;&gt;0,H1023&lt;&gt;0),"x"," ")</f>
        <v xml:space="preserve"> </v>
      </c>
      <c r="D1023" s="338" t="str">
        <f>VLOOKUP($B1023,DG!A:D,DG!$B$2,)</f>
        <v>02.3505</v>
      </c>
      <c r="E1023" s="366" t="str">
        <f>VLOOKUP($B1023,DG!A:D,DG!$C$2,)</f>
        <v>Lắp FCO 24KV</v>
      </c>
      <c r="F1023" s="594" t="str">
        <f>VLOOKUP($B1023,DG!A:D,DG!$D$2,)</f>
        <v>cái</v>
      </c>
      <c r="G1023" s="595"/>
      <c r="H1023" s="355"/>
      <c r="I1023" s="355">
        <f>H1023+J1023-K1023</f>
        <v>0</v>
      </c>
      <c r="J1023" s="355"/>
      <c r="K1023" s="355"/>
      <c r="L1023" s="367"/>
      <c r="M1023" s="332"/>
      <c r="N1023" s="340"/>
      <c r="O1023" s="341"/>
    </row>
    <row r="1024" spans="1:15" ht="16.2">
      <c r="A1024" s="288"/>
      <c r="B1024" s="417" t="s">
        <v>1052</v>
      </c>
      <c r="C1024" s="388" t="str">
        <f>IF(OR(I1024&lt;&gt;0,H1024&lt;&gt;0),"x"," ")</f>
        <v xml:space="preserve"> </v>
      </c>
      <c r="D1024" s="338" t="str">
        <f>VLOOKUP($B1024,DG!A:D,DG!$B$2,)</f>
        <v>02.5114</v>
      </c>
      <c r="E1024" s="366" t="s">
        <v>1053</v>
      </c>
      <c r="F1024" s="594" t="str">
        <f>VLOOKUP($B1024,DG!A:D,DG!$D$2,)</f>
        <v>cái</v>
      </c>
      <c r="G1024" s="595"/>
      <c r="H1024" s="355"/>
      <c r="I1024" s="355">
        <f>H1024+J1024-K1024</f>
        <v>0</v>
      </c>
      <c r="J1024" s="355"/>
      <c r="K1024" s="355"/>
      <c r="L1024" s="367"/>
      <c r="M1024" s="332"/>
      <c r="N1024" s="340"/>
      <c r="O1024" s="341"/>
    </row>
    <row r="1025" spans="1:15" ht="16.2">
      <c r="A1025" s="288"/>
      <c r="B1025" s="417" t="s">
        <v>1052</v>
      </c>
      <c r="C1025" s="388" t="str">
        <f>IF(OR(I1025&lt;&gt;0,H1025&lt;&gt;0),"x"," ")</f>
        <v xml:space="preserve"> </v>
      </c>
      <c r="D1025" s="338" t="str">
        <f>VLOOKUP($B1025,DG!A:D,DG!$B$2,)</f>
        <v>02.5114</v>
      </c>
      <c r="E1025" s="366" t="s">
        <v>1054</v>
      </c>
      <c r="F1025" s="594" t="str">
        <f>VLOOKUP($B1025,DG!A:D,DG!$D$2,)</f>
        <v>cái</v>
      </c>
      <c r="G1025" s="595"/>
      <c r="H1025" s="355"/>
      <c r="I1025" s="355">
        <f>H1025+J1025-K1025</f>
        <v>0</v>
      </c>
      <c r="J1025" s="355"/>
      <c r="K1025" s="355"/>
      <c r="L1025" s="367"/>
      <c r="M1025" s="332"/>
      <c r="N1025" s="340"/>
      <c r="O1025" s="341"/>
    </row>
    <row r="1026" spans="1:15" ht="16.2">
      <c r="A1026" s="288"/>
      <c r="B1026" s="417" t="s">
        <v>1055</v>
      </c>
      <c r="C1026" s="388" t="str">
        <f>IF(OR(I1026&lt;&gt;0,H1026&lt;&gt;0),"x"," ")</f>
        <v xml:space="preserve"> </v>
      </c>
      <c r="D1026" s="338" t="str">
        <f>VLOOKUP($B1026,DG!A:D,DG!$B$2,)</f>
        <v>06.2110</v>
      </c>
      <c r="E1026" s="366" t="s">
        <v>1056</v>
      </c>
      <c r="F1026" s="594" t="str">
        <f>VLOOKUP($B1026,DG!A:D,DG!$D$2,)</f>
        <v>bộ</v>
      </c>
      <c r="G1026" s="595"/>
      <c r="H1026" s="355"/>
      <c r="I1026" s="355">
        <f>H1026+J1026-K1026</f>
        <v>0</v>
      </c>
      <c r="J1026" s="355"/>
      <c r="K1026" s="355"/>
      <c r="L1026" s="367"/>
      <c r="M1026" s="332"/>
      <c r="N1026" s="340"/>
      <c r="O1026" s="341"/>
    </row>
    <row r="1027" spans="1:15" ht="16.2">
      <c r="A1027" s="288"/>
      <c r="B1027" s="417" t="s">
        <v>1055</v>
      </c>
      <c r="C1027" s="388" t="str">
        <f>IF(OR(I1027&lt;&gt;0,H1027&lt;&gt;0),"x"," ")</f>
        <v xml:space="preserve"> </v>
      </c>
      <c r="D1027" s="338" t="str">
        <f>VLOOKUP($B1027,DG!A:D,DG!$B$2,)</f>
        <v>06.2110</v>
      </c>
      <c r="E1027" s="366" t="s">
        <v>1057</v>
      </c>
      <c r="F1027" s="594" t="str">
        <f>VLOOKUP($B1027,DG!A:D,DG!$D$2,)</f>
        <v>bộ</v>
      </c>
      <c r="G1027" s="595"/>
      <c r="H1027" s="355"/>
      <c r="I1027" s="355">
        <f>H1027+J1027-K1027</f>
        <v>0</v>
      </c>
      <c r="J1027" s="355"/>
      <c r="K1027" s="355"/>
      <c r="L1027" s="367"/>
      <c r="M1027" s="332"/>
      <c r="N1027" s="340"/>
      <c r="O1027" s="341"/>
    </row>
    <row r="1028" spans="1:15" ht="16.2">
      <c r="A1028" s="288"/>
      <c r="B1028" s="417" t="s">
        <v>1058</v>
      </c>
      <c r="C1028" s="388" t="str">
        <f>IF(OR(I1028&lt;&gt;0,H1028&lt;&gt;0),"x"," ")</f>
        <v xml:space="preserve"> </v>
      </c>
      <c r="D1028" s="338" t="str">
        <f>VLOOKUP($B1028,DG!A:D,DG!$B$2,)</f>
        <v>06.5072</v>
      </c>
      <c r="E1028" s="366" t="str">
        <f>VLOOKUP($B1028,DG!A:D,DG!$C$2,)</f>
        <v xml:space="preserve">Kéo dây qua vị trí bẻ góc dây </v>
      </c>
      <c r="F1028" s="594" t="str">
        <f>VLOOKUP($B1028,DG!A:D,DG!$D$2,)</f>
        <v>vị trí</v>
      </c>
      <c r="G1028" s="595">
        <f>I1028</f>
        <v>0</v>
      </c>
      <c r="H1028" s="355"/>
      <c r="I1028" s="355">
        <f>H1028+J1028-K1028</f>
        <v>0</v>
      </c>
      <c r="J1028" s="355"/>
      <c r="K1028" s="355"/>
      <c r="L1028" s="367"/>
      <c r="M1028" s="332"/>
      <c r="N1028" s="340"/>
      <c r="O1028" s="341"/>
    </row>
    <row r="1029" spans="1:15" ht="16.2">
      <c r="A1029" s="288"/>
      <c r="B1029" s="417" t="s">
        <v>1059</v>
      </c>
      <c r="C1029" s="388" t="str">
        <f>IF(OR(I1029&lt;&gt;0,H1029&lt;&gt;0),"x"," ")</f>
        <v xml:space="preserve"> </v>
      </c>
      <c r="D1029" s="338" t="str">
        <f>VLOOKUP($B1029,DG!A:D,DG!$B$2,)</f>
        <v>06.5082</v>
      </c>
      <c r="E1029" s="366" t="str">
        <f>VLOOKUP($B1029,DG!A:D,DG!$C$2,)</f>
        <v>Kéo dây qua sông ( S&lt;=300)</v>
      </c>
      <c r="F1029" s="594" t="str">
        <f>VLOOKUP($B1029,DG!A:D,DG!$D$2,)</f>
        <v>vị trí</v>
      </c>
      <c r="G1029" s="595">
        <f>[3]pp_NC!GT184</f>
        <v>0</v>
      </c>
      <c r="H1029" s="355"/>
      <c r="I1029" s="355">
        <f>H1029+J1029-K1029</f>
        <v>0</v>
      </c>
      <c r="J1029" s="355"/>
      <c r="K1029" s="355"/>
      <c r="L1029" s="367"/>
      <c r="M1029" s="332"/>
      <c r="N1029" s="340"/>
      <c r="O1029" s="341"/>
    </row>
    <row r="1030" spans="1:15" ht="16.2">
      <c r="A1030" s="384"/>
      <c r="B1030" s="420" t="s">
        <v>1060</v>
      </c>
      <c r="C1030" s="388" t="str">
        <f>IF(OR(I1030&lt;&gt;0,H1030&lt;&gt;0),"x"," ")</f>
        <v xml:space="preserve"> </v>
      </c>
      <c r="D1030" s="338" t="str">
        <f>VLOOKUP($B1030,DG!A:D,DG!$B$2,)</f>
        <v>02.1122</v>
      </c>
      <c r="E1030" s="366" t="str">
        <f>VLOOKUP($B1030,DG!A:D,DG!$C$2,)</f>
        <v>Bốc dỡ dây</v>
      </c>
      <c r="F1030" s="594" t="str">
        <f>VLOOKUP($B1030,DG!A:D,DG!$D$2,)</f>
        <v>tấn</v>
      </c>
      <c r="G1030" s="595"/>
      <c r="H1030" s="355">
        <f>G1030</f>
        <v>0</v>
      </c>
      <c r="I1030" s="355">
        <f>H1030+J1030-K1030</f>
        <v>0</v>
      </c>
      <c r="J1030" s="355"/>
      <c r="K1030" s="355"/>
      <c r="L1030" s="367"/>
      <c r="M1030" s="339"/>
      <c r="N1030" s="340"/>
      <c r="O1030" s="341"/>
    </row>
    <row r="1031" spans="1:15" ht="16.2">
      <c r="A1031" s="384"/>
      <c r="B1031" s="420" t="s">
        <v>604</v>
      </c>
      <c r="C1031" s="388" t="str">
        <f>IF(OR(I1031&lt;&gt;0,H1031&lt;&gt;0),"x"," ")</f>
        <v xml:space="preserve"> </v>
      </c>
      <c r="D1031" s="338" t="str">
        <f>VLOOKUP($B1031,DG!A:D,DG!$B$2,)</f>
        <v>02.1120</v>
      </c>
      <c r="E1031" s="366" t="str">
        <f>VLOOKUP($B1031,DG!A:D,DG!$C$2,)</f>
        <v>Bốc dỡ phụ kiện</v>
      </c>
      <c r="F1031" s="594" t="str">
        <f>VLOOKUP($B1031,DG!A:D,DG!$D$2,)</f>
        <v>tấn</v>
      </c>
      <c r="G1031" s="595"/>
      <c r="H1031" s="355">
        <f>G1031</f>
        <v>0</v>
      </c>
      <c r="I1031" s="355">
        <f>H1031+J1031-K1031</f>
        <v>0</v>
      </c>
      <c r="J1031" s="355"/>
      <c r="K1031" s="355"/>
      <c r="L1031" s="367"/>
      <c r="M1031" s="339"/>
      <c r="N1031" s="340"/>
      <c r="O1031" s="341"/>
    </row>
    <row r="1032" spans="1:15" ht="16.2">
      <c r="A1032" s="384"/>
      <c r="B1032" s="420" t="s">
        <v>827</v>
      </c>
      <c r="C1032" s="388" t="str">
        <f>IF(OR(I1032&lt;&gt;0,H1032&lt;&gt;0),"x"," ")</f>
        <v xml:space="preserve"> </v>
      </c>
      <c r="D1032" s="338" t="str">
        <f>VLOOKUP($B1032,DG!A:D,DG!$B$2,)</f>
        <v>02.1421</v>
      </c>
      <c r="E1032" s="366" t="str">
        <f>VLOOKUP($B1032,DG!A:D,DG!$C$2,)</f>
        <v>V/c phụ kiện vào vị trí (cự ly &lt;=100m)</v>
      </c>
      <c r="F1032" s="594" t="str">
        <f>VLOOKUP($B1032,DG!A:D,DG!$D$2,)</f>
        <v>tấn</v>
      </c>
      <c r="G1032" s="595"/>
      <c r="H1032" s="355">
        <f>G1032</f>
        <v>0</v>
      </c>
      <c r="I1032" s="355">
        <f>H1032+J1032-K1032</f>
        <v>0</v>
      </c>
      <c r="J1032" s="355"/>
      <c r="K1032" s="355"/>
      <c r="L1032" s="367"/>
      <c r="M1032" s="339"/>
      <c r="N1032" s="340"/>
      <c r="O1032" s="341"/>
    </row>
    <row r="1033" spans="1:15" ht="16.2">
      <c r="A1033" s="384"/>
      <c r="B1033" s="420" t="s">
        <v>1061</v>
      </c>
      <c r="C1033" s="388" t="str">
        <f>IF(OR(I1033&lt;&gt;0,H1033&lt;&gt;0),"x"," ")</f>
        <v xml:space="preserve"> </v>
      </c>
      <c r="D1033" s="338" t="str">
        <f>VLOOKUP($B1033,DG!A:D,DG!$B$2,)</f>
        <v>02.1441</v>
      </c>
      <c r="E1033" s="366" t="str">
        <f>VLOOKUP($B1033,DG!A:D,DG!$C$2,)</f>
        <v>V/c dây vào vị trí (cự ly &lt;=100m)</v>
      </c>
      <c r="F1033" s="594" t="str">
        <f>VLOOKUP($B1033,DG!A:D,DG!$D$2,)</f>
        <v>tấn</v>
      </c>
      <c r="G1033" s="595"/>
      <c r="H1033" s="355">
        <f>G1033</f>
        <v>0</v>
      </c>
      <c r="I1033" s="355">
        <f>H1033+J1033-K1033</f>
        <v>0</v>
      </c>
      <c r="J1033" s="355"/>
      <c r="K1033" s="355"/>
      <c r="L1033" s="367"/>
      <c r="M1033" s="339"/>
      <c r="N1033" s="340"/>
      <c r="O1033" s="341"/>
    </row>
    <row r="1034" spans="1:15" ht="16.2">
      <c r="A1034" s="384"/>
      <c r="B1034" s="422" t="s">
        <v>901</v>
      </c>
      <c r="C1034" s="388" t="str">
        <f>IF(OR(I1034&lt;&gt;0,H1034&lt;&gt;0),"x"," ")</f>
        <v xml:space="preserve"> </v>
      </c>
      <c r="D1034" s="338" t="str">
        <f>VLOOKUP($B1034,DG!A:D,DG!$B$2,)</f>
        <v>02.1482</v>
      </c>
      <c r="E1034" s="366" t="str">
        <f>VLOOKUP($B1034,DG!A:D,DG!$C$2,)</f>
        <v>V/c dụng cụ thi công vào vị trí (cự ly &lt;=100m)</v>
      </c>
      <c r="F1034" s="594" t="str">
        <f>VLOOKUP($B1034,DG!A:D,DG!$D$2,)</f>
        <v>tấn</v>
      </c>
      <c r="G1034" s="595"/>
      <c r="H1034" s="355">
        <f>G1034</f>
        <v>0</v>
      </c>
      <c r="I1034" s="355">
        <f>H1034+J1034-K1034</f>
        <v>0</v>
      </c>
      <c r="J1034" s="355"/>
      <c r="K1034" s="355"/>
      <c r="L1034" s="367"/>
      <c r="M1034" s="340"/>
      <c r="N1034" s="340"/>
      <c r="O1034" s="341"/>
    </row>
    <row r="1035" spans="1:15" ht="16.2">
      <c r="A1035" s="342" t="s">
        <v>1062</v>
      </c>
      <c r="B1035" s="343" t="s">
        <v>1062</v>
      </c>
      <c r="C1035" s="388" t="str">
        <f>IF(G1035&lt;&gt;0,"x"," ")</f>
        <v xml:space="preserve"> </v>
      </c>
      <c r="D1035" s="347" t="s">
        <v>1063</v>
      </c>
      <c r="E1035" s="346" t="s">
        <v>1064</v>
      </c>
      <c r="F1035" s="593" t="s">
        <v>934</v>
      </c>
      <c r="G1035" s="349"/>
      <c r="H1035" s="349">
        <f>IFERROR(HLOOKUP(B1035,'BKT-ThuHoi'!$5:$183,179,0),0)</f>
        <v>0</v>
      </c>
      <c r="I1035" s="350"/>
      <c r="J1035" s="350"/>
      <c r="K1035" s="350"/>
      <c r="L1035" s="348"/>
      <c r="M1035" s="332"/>
      <c r="N1035" s="340"/>
      <c r="O1035" s="341"/>
    </row>
    <row r="1036" spans="1:15" ht="16.2">
      <c r="A1036" s="288"/>
      <c r="B1036" s="351" t="s">
        <v>941</v>
      </c>
      <c r="C1036" s="388" t="str">
        <f>IF(OR(I1036&lt;&gt;0,H1036&lt;&gt;0),"x"," ")</f>
        <v xml:space="preserve"> </v>
      </c>
      <c r="D1036" s="410">
        <f>'[3]pp3p2m '!C90</f>
        <v>0</v>
      </c>
      <c r="E1036" s="358" t="str">
        <f>VLOOKUP($B1036,DG!A:D,DG!$C$2,)</f>
        <v>Cáp nhôm lõi thép AC-50/8</v>
      </c>
      <c r="F1036" s="594" t="str">
        <f>VLOOKUP($B1036,DG!A:D,DG!$D$2,)</f>
        <v>kg</v>
      </c>
      <c r="G1036" s="595">
        <f>ROUND(D1036*1.02*0.195,2)</f>
        <v>0</v>
      </c>
      <c r="H1036" s="355">
        <f>$G1036</f>
        <v>0</v>
      </c>
      <c r="I1036" s="355">
        <f>H1036+J1036-K1036</f>
        <v>0</v>
      </c>
      <c r="J1036" s="355"/>
      <c r="K1036" s="355"/>
      <c r="L1036" s="367"/>
      <c r="M1036" s="332"/>
      <c r="N1036" s="340"/>
      <c r="O1036" s="341"/>
    </row>
    <row r="1037" spans="1:15" ht="16.2">
      <c r="A1037" s="288"/>
      <c r="B1037" s="351" t="s">
        <v>940</v>
      </c>
      <c r="C1037" s="388" t="str">
        <f>IF(OR(I1037&lt;&gt;0,H1037&lt;&gt;0),"x"," ")</f>
        <v xml:space="preserve"> </v>
      </c>
      <c r="D1037" s="410">
        <f>'[3]pp3p2m '!C89</f>
        <v>0</v>
      </c>
      <c r="E1037" s="358" t="str">
        <f>VLOOKUP($B1037,DG!A:D,DG!$C$2,)</f>
        <v>Cáp nhôm lõi thép AC-70/11</v>
      </c>
      <c r="F1037" s="594" t="str">
        <f>VLOOKUP($B1037,DG!A:D,DG!$D$2,)</f>
        <v>kg</v>
      </c>
      <c r="G1037" s="595">
        <f>ROUND(D1037*1.02*0.276,2)</f>
        <v>0</v>
      </c>
      <c r="H1037" s="355">
        <f>$G1037</f>
        <v>0</v>
      </c>
      <c r="I1037" s="355">
        <f>H1037+J1037-K1037</f>
        <v>0</v>
      </c>
      <c r="J1037" s="355"/>
      <c r="K1037" s="355"/>
      <c r="L1037" s="367"/>
      <c r="M1037" s="332"/>
      <c r="N1037" s="340"/>
      <c r="O1037" s="341"/>
    </row>
    <row r="1038" spans="1:15" ht="16.2">
      <c r="A1038" s="288"/>
      <c r="B1038" s="351" t="s">
        <v>939</v>
      </c>
      <c r="C1038" s="388" t="str">
        <f>IF(OR(I1038&lt;&gt;0,H1038&lt;&gt;0),"x"," ")</f>
        <v xml:space="preserve"> </v>
      </c>
      <c r="D1038" s="410">
        <f>'[3]pp3p2m '!C88</f>
        <v>0</v>
      </c>
      <c r="E1038" s="358" t="str">
        <f>VLOOKUP($B1038,DG!A:D,DG!$C$2,)</f>
        <v>Cáp nhôm lõi thép AC-95/16</v>
      </c>
      <c r="F1038" s="594" t="str">
        <f>VLOOKUP($B1038,DG!A:D,DG!$D$2,)</f>
        <v>kg</v>
      </c>
      <c r="G1038" s="595">
        <f>ROUND(D1038*1.02*0.385,2)</f>
        <v>0</v>
      </c>
      <c r="H1038" s="355">
        <f>$G1038</f>
        <v>0</v>
      </c>
      <c r="I1038" s="355">
        <f>H1038+J1038-K1038</f>
        <v>0</v>
      </c>
      <c r="J1038" s="355"/>
      <c r="K1038" s="355"/>
      <c r="L1038" s="367"/>
      <c r="M1038" s="332"/>
      <c r="N1038" s="340"/>
      <c r="O1038" s="341"/>
    </row>
    <row r="1039" spans="1:15" ht="16.2">
      <c r="A1039" s="288"/>
      <c r="B1039" s="351" t="s">
        <v>938</v>
      </c>
      <c r="C1039" s="388" t="str">
        <f>IF(OR(I1039&lt;&gt;0,H1039&lt;&gt;0),"x"," ")</f>
        <v xml:space="preserve"> </v>
      </c>
      <c r="D1039" s="410">
        <f>'[3]pp3p2m '!C87</f>
        <v>0</v>
      </c>
      <c r="E1039" s="358" t="str">
        <f>VLOOKUP($B1039,DG!A:D,DG!$C$2,)</f>
        <v>Cáp nhôm lõi thép AC-120/19</v>
      </c>
      <c r="F1039" s="594" t="str">
        <f>VLOOKUP($B1039,DG!A:D,DG!$D$2,)</f>
        <v>kg</v>
      </c>
      <c r="G1039" s="595">
        <f>ROUND(D1039*1.02*0.471,2)</f>
        <v>0</v>
      </c>
      <c r="H1039" s="355">
        <f>$G1039</f>
        <v>0</v>
      </c>
      <c r="I1039" s="355">
        <f>H1039+J1039-K1039</f>
        <v>0</v>
      </c>
      <c r="J1039" s="355"/>
      <c r="K1039" s="355"/>
      <c r="L1039" s="367"/>
      <c r="M1039" s="332"/>
      <c r="N1039" s="340"/>
      <c r="O1039" s="341"/>
    </row>
    <row r="1040" spans="1:15" ht="16.2">
      <c r="A1040" s="288"/>
      <c r="B1040" s="351" t="s">
        <v>937</v>
      </c>
      <c r="C1040" s="388" t="str">
        <f>IF(OR(I1040&lt;&gt;0,H1040&lt;&gt;0),"x"," ")</f>
        <v xml:space="preserve"> </v>
      </c>
      <c r="D1040" s="410">
        <f>'[3]pp3p2m '!C86</f>
        <v>0</v>
      </c>
      <c r="E1040" s="358" t="str">
        <f>VLOOKUP($B1040,DG!A:D,DG!$C$2,)</f>
        <v>Cáp nhôm lõi thép AC-150/24</v>
      </c>
      <c r="F1040" s="594" t="str">
        <f>VLOOKUP($B1040,DG!A:D,DG!$D$2,)</f>
        <v>kg</v>
      </c>
      <c r="G1040" s="595">
        <f>ROUND(D1040*1.02*0.599,2)</f>
        <v>0</v>
      </c>
      <c r="H1040" s="355">
        <f>$G1040</f>
        <v>0</v>
      </c>
      <c r="I1040" s="355">
        <f>H1040+J1040-K1040</f>
        <v>0</v>
      </c>
      <c r="J1040" s="355"/>
      <c r="K1040" s="355"/>
      <c r="L1040" s="367"/>
      <c r="M1040" s="332"/>
      <c r="N1040" s="340"/>
      <c r="O1040" s="341"/>
    </row>
    <row r="1041" spans="1:15" ht="16.2">
      <c r="A1041" s="288"/>
      <c r="B1041" s="351" t="s">
        <v>936</v>
      </c>
      <c r="C1041" s="388" t="str">
        <f>IF(OR(I1041&lt;&gt;0,H1041&lt;&gt;0),"x"," ")</f>
        <v xml:space="preserve"> </v>
      </c>
      <c r="D1041" s="410">
        <f>'[3]pp3p2m '!C85</f>
        <v>0</v>
      </c>
      <c r="E1041" s="358" t="str">
        <f>VLOOKUP($B1041,DG!A:D,DG!$C$2,)</f>
        <v>Cáp nhôm lõi thép AC-185/29</v>
      </c>
      <c r="F1041" s="594" t="str">
        <f>VLOOKUP($B1041,DG!A:D,DG!$D$2,)</f>
        <v>kg</v>
      </c>
      <c r="G1041" s="595">
        <f>ROUND(D1041*1.02*0.728,2)</f>
        <v>0</v>
      </c>
      <c r="H1041" s="355">
        <f t="shared" ref="H1041:H1120" si="61">$G1041</f>
        <v>0</v>
      </c>
      <c r="I1041" s="355">
        <f>H1041+J1041-K1041</f>
        <v>0</v>
      </c>
      <c r="J1041" s="355"/>
      <c r="K1041" s="355"/>
      <c r="L1041" s="367"/>
      <c r="M1041" s="332"/>
      <c r="N1041" s="340"/>
      <c r="O1041" s="341"/>
    </row>
    <row r="1042" spans="1:15" ht="16.2">
      <c r="A1042" s="288"/>
      <c r="B1042" s="351" t="s">
        <v>935</v>
      </c>
      <c r="C1042" s="388" t="str">
        <f>IF(OR(I1042&lt;&gt;0,H1042&lt;&gt;0),"x"," ")</f>
        <v xml:space="preserve"> </v>
      </c>
      <c r="D1042" s="410">
        <f>'[3]pp3p2m '!C84</f>
        <v>0</v>
      </c>
      <c r="E1042" s="358" t="str">
        <f>VLOOKUP($B1042,DG!A:D,DG!$C$2,)</f>
        <v>Cáp nhôm lõi thép AC-240/39</v>
      </c>
      <c r="F1042" s="594" t="str">
        <f>VLOOKUP($B1042,DG!A:D,DG!$D$2,)</f>
        <v>kg</v>
      </c>
      <c r="G1042" s="595">
        <f>ROUND(D1042*1.02*0.921,2)</f>
        <v>0</v>
      </c>
      <c r="H1042" s="355">
        <f>$G1042</f>
        <v>0</v>
      </c>
      <c r="I1042" s="355">
        <f>H1042+J1042-K1042</f>
        <v>0</v>
      </c>
      <c r="J1042" s="355"/>
      <c r="K1042" s="355"/>
      <c r="L1042" s="367"/>
      <c r="M1042" s="332"/>
      <c r="N1042" s="340"/>
      <c r="O1042" s="341"/>
    </row>
    <row r="1043" spans="1:15" ht="16.2">
      <c r="A1043" s="288"/>
      <c r="B1043" s="351" t="s">
        <v>943</v>
      </c>
      <c r="C1043" s="388" t="str">
        <f>IF(OR(I1043&lt;&gt;0,H1043&lt;&gt;0),"x"," ")</f>
        <v xml:space="preserve"> </v>
      </c>
      <c r="D1043" s="410">
        <f>'[3]pp3p2m '!C98</f>
        <v>0</v>
      </c>
      <c r="E1043" s="358" t="str">
        <f>VLOOKUP($B1043,DG!A:D,DG!$C$2,)</f>
        <v>Cáp 24KV A/XLPE/PVC 240mm2</v>
      </c>
      <c r="F1043" s="594" t="str">
        <f>VLOOKUP($B1043,DG!A:D,DG!$D$2,)</f>
        <v>mét</v>
      </c>
      <c r="G1043" s="595">
        <f t="shared" ref="G1043:G1048" si="62">ROUND(D1043*1.03,2)</f>
        <v>0</v>
      </c>
      <c r="H1043" s="355">
        <f t="shared" si="61"/>
        <v>0</v>
      </c>
      <c r="I1043" s="355">
        <f>H1043+J1043-K1043</f>
        <v>0</v>
      </c>
      <c r="J1043" s="355"/>
      <c r="K1043" s="355"/>
      <c r="L1043" s="367"/>
      <c r="M1043" s="332"/>
      <c r="N1043" s="340"/>
      <c r="O1043" s="341"/>
    </row>
    <row r="1044" spans="1:15" ht="16.2">
      <c r="A1044" s="288"/>
      <c r="B1044" s="351" t="s">
        <v>944</v>
      </c>
      <c r="C1044" s="388" t="str">
        <f>IF(OR(I1044&lt;&gt;0,H1044&lt;&gt;0),"x"," ")</f>
        <v xml:space="preserve"> </v>
      </c>
      <c r="D1044" s="410"/>
      <c r="E1044" s="358" t="str">
        <f>VLOOKUP($B1044,DG!A:D,DG!$C$2,)</f>
        <v>Cáp 24KV A/XLPE/PVC 185mm2</v>
      </c>
      <c r="F1044" s="594" t="str">
        <f>VLOOKUP($B1044,DG!A:D,DG!$D$2,)</f>
        <v>mét</v>
      </c>
      <c r="G1044" s="595">
        <f>ROUND(D1044*1.02,2)</f>
        <v>0</v>
      </c>
      <c r="H1044" s="355">
        <f t="shared" si="61"/>
        <v>0</v>
      </c>
      <c r="I1044" s="355">
        <f>H1044+J1044-K1044</f>
        <v>0</v>
      </c>
      <c r="J1044" s="355"/>
      <c r="K1044" s="355"/>
      <c r="L1044" s="367"/>
      <c r="M1044" s="332"/>
      <c r="N1044" s="340"/>
      <c r="O1044" s="341"/>
    </row>
    <row r="1045" spans="1:15" ht="16.2">
      <c r="A1045" s="288"/>
      <c r="B1045" s="351" t="s">
        <v>945</v>
      </c>
      <c r="C1045" s="388" t="str">
        <f>IF(OR(I1045&lt;&gt;0,H1045&lt;&gt;0),"x"," ")</f>
        <v xml:space="preserve"> </v>
      </c>
      <c r="D1045" s="410">
        <f>'[3]pp3p2m '!C100</f>
        <v>0</v>
      </c>
      <c r="E1045" s="358" t="str">
        <f>VLOOKUP($B1045,DG!A:D,DG!$C$2,)</f>
        <v>Cáp 24KV A/XLPE/PVC 150mm2</v>
      </c>
      <c r="F1045" s="594" t="str">
        <f>VLOOKUP($B1045,DG!A:D,DG!$D$2,)</f>
        <v>mét</v>
      </c>
      <c r="G1045" s="595">
        <f t="shared" si="62"/>
        <v>0</v>
      </c>
      <c r="H1045" s="355">
        <f>$G1045</f>
        <v>0</v>
      </c>
      <c r="I1045" s="355">
        <f>H1045+J1045-K1045</f>
        <v>0</v>
      </c>
      <c r="J1045" s="355"/>
      <c r="K1045" s="355"/>
      <c r="L1045" s="367"/>
      <c r="M1045" s="332"/>
      <c r="N1045" s="340"/>
      <c r="O1045" s="341"/>
    </row>
    <row r="1046" spans="1:15" ht="16.2">
      <c r="A1046" s="288"/>
      <c r="B1046" s="351" t="s">
        <v>946</v>
      </c>
      <c r="C1046" s="388" t="str">
        <f>IF(OR(I1046&lt;&gt;0,H1046&lt;&gt;0),"x"," ")</f>
        <v xml:space="preserve"> </v>
      </c>
      <c r="D1046" s="410">
        <f>'[3]pp3p2m '!C101</f>
        <v>0</v>
      </c>
      <c r="E1046" s="358" t="str">
        <f>VLOOKUP($B1046,DG!A:D,DG!$C$2,)</f>
        <v>Cáp 24KV A/XLPE/PVC 120mm2</v>
      </c>
      <c r="F1046" s="594" t="str">
        <f>VLOOKUP($B1046,DG!A:D,DG!$D$2,)</f>
        <v>mét</v>
      </c>
      <c r="G1046" s="595">
        <f t="shared" si="62"/>
        <v>0</v>
      </c>
      <c r="H1046" s="355">
        <f t="shared" si="61"/>
        <v>0</v>
      </c>
      <c r="I1046" s="355">
        <f>H1046+J1046-K1046</f>
        <v>0</v>
      </c>
      <c r="J1046" s="355"/>
      <c r="K1046" s="355"/>
      <c r="L1046" s="367"/>
      <c r="M1046" s="332"/>
      <c r="N1046" s="340"/>
      <c r="O1046" s="341"/>
    </row>
    <row r="1047" spans="1:15" ht="16.2">
      <c r="A1047" s="288"/>
      <c r="B1047" s="351" t="s">
        <v>947</v>
      </c>
      <c r="C1047" s="388" t="str">
        <f>IF(OR(I1047&lt;&gt;0,H1047&lt;&gt;0),"x"," ")</f>
        <v xml:space="preserve"> </v>
      </c>
      <c r="D1047" s="410">
        <f>'[3]pp3p2m '!C102</f>
        <v>0</v>
      </c>
      <c r="E1047" s="358" t="str">
        <f>VLOOKUP($B1047,DG!A:D,DG!$C$2,)</f>
        <v>Cáp 24KV A/XLPE/PVC 95mm2</v>
      </c>
      <c r="F1047" s="594" t="str">
        <f>VLOOKUP($B1047,DG!A:D,DG!$D$2,)</f>
        <v>mét</v>
      </c>
      <c r="G1047" s="595">
        <f t="shared" si="62"/>
        <v>0</v>
      </c>
      <c r="H1047" s="355">
        <f t="shared" si="61"/>
        <v>0</v>
      </c>
      <c r="I1047" s="355">
        <f>H1047+J1047-K1047</f>
        <v>0</v>
      </c>
      <c r="J1047" s="355"/>
      <c r="K1047" s="355"/>
      <c r="L1047" s="367"/>
      <c r="M1047" s="332"/>
      <c r="N1047" s="340"/>
      <c r="O1047" s="341"/>
    </row>
    <row r="1048" spans="1:15" ht="16.2">
      <c r="A1048" s="288"/>
      <c r="B1048" s="351" t="s">
        <v>948</v>
      </c>
      <c r="C1048" s="388" t="str">
        <f>IF(OR(I1048&lt;&gt;0,H1048&lt;&gt;0),"x"," ")</f>
        <v xml:space="preserve"> </v>
      </c>
      <c r="D1048" s="410">
        <f>'[3]pp3p2m '!C103</f>
        <v>0</v>
      </c>
      <c r="E1048" s="358" t="str">
        <f>VLOOKUP($B1048,DG!A:D,DG!$C$2,)</f>
        <v>Cáp 24KV A/XLPE/PVC 70mm2</v>
      </c>
      <c r="F1048" s="594" t="str">
        <f>VLOOKUP($B1048,DG!A:D,DG!$D$2,)</f>
        <v>mét</v>
      </c>
      <c r="G1048" s="595">
        <f t="shared" si="62"/>
        <v>0</v>
      </c>
      <c r="H1048" s="355">
        <f t="shared" si="61"/>
        <v>0</v>
      </c>
      <c r="I1048" s="355">
        <f>H1048+J1048-K1048</f>
        <v>0</v>
      </c>
      <c r="J1048" s="355"/>
      <c r="K1048" s="355"/>
      <c r="L1048" s="367"/>
      <c r="M1048" s="332"/>
      <c r="N1048" s="340"/>
      <c r="O1048" s="341"/>
    </row>
    <row r="1049" spans="1:15" ht="16.2">
      <c r="A1049" s="288"/>
      <c r="B1049" s="411" t="s">
        <v>949</v>
      </c>
      <c r="C1049" s="388" t="str">
        <f>IF(OR(I1049&lt;&gt;0,H1049&lt;&gt;0),"x"," ")</f>
        <v>x</v>
      </c>
      <c r="D1049" s="338"/>
      <c r="E1049" s="412" t="s">
        <v>950</v>
      </c>
      <c r="F1049" s="593" t="s">
        <v>775</v>
      </c>
      <c r="G1049" s="349">
        <f>'[3]pp3p2m '!CU82</f>
        <v>0</v>
      </c>
      <c r="H1049" s="349">
        <f>IFERROR(HLOOKUP(B1049,'BKT-ThuHoi'!$5:$183,179,0),0)</f>
        <v>86</v>
      </c>
      <c r="I1049" s="350">
        <f>H1049+J1049-K1049</f>
        <v>86</v>
      </c>
      <c r="J1049" s="350"/>
      <c r="K1049" s="350"/>
      <c r="L1049" s="348"/>
      <c r="M1049" s="332"/>
      <c r="N1049" s="340"/>
      <c r="O1049" s="341"/>
    </row>
    <row r="1050" spans="1:15" ht="16.2">
      <c r="A1050" s="288"/>
      <c r="B1050" s="351" t="s">
        <v>951</v>
      </c>
      <c r="C1050" s="388" t="str">
        <f>IF(OR(I1050&lt;&gt;0,H1050&lt;&gt;0),"x"," ")</f>
        <v xml:space="preserve"> </v>
      </c>
      <c r="D1050" s="338"/>
      <c r="E1050" s="358" t="str">
        <f>VLOOKUP($B1050,DG!A:D,DG!$C$2,)</f>
        <v>Uclevis</v>
      </c>
      <c r="F1050" s="594" t="str">
        <f>VLOOKUP($B1050,DG!A:D,DG!$D$2,)</f>
        <v>bộ</v>
      </c>
      <c r="G1050" s="595">
        <f>G1049</f>
        <v>0</v>
      </c>
      <c r="H1050" s="355">
        <f t="shared" si="61"/>
        <v>0</v>
      </c>
      <c r="I1050" s="355">
        <f>H1050+J1050-K1050</f>
        <v>0</v>
      </c>
      <c r="J1050" s="355"/>
      <c r="K1050" s="355"/>
      <c r="L1050" s="367"/>
      <c r="M1050" s="332"/>
      <c r="N1050" s="340"/>
      <c r="O1050" s="341"/>
    </row>
    <row r="1051" spans="1:15" ht="16.2">
      <c r="A1051" s="288"/>
      <c r="B1051" s="351" t="s">
        <v>717</v>
      </c>
      <c r="C1051" s="388" t="str">
        <f>IF(OR(I1051&lt;&gt;0,H1051&lt;&gt;0),"x"," ")</f>
        <v xml:space="preserve"> </v>
      </c>
      <c r="D1051" s="338"/>
      <c r="E1051" s="358" t="str">
        <f>VLOOKUP($B1051,DG!A:D,DG!$C$2,)</f>
        <v>Boulon 16x300</v>
      </c>
      <c r="F1051" s="594" t="str">
        <f>VLOOKUP($B1051,DG!A:D,DG!$D$2,)</f>
        <v>bộ</v>
      </c>
      <c r="G1051" s="595">
        <f>G1049</f>
        <v>0</v>
      </c>
      <c r="H1051" s="355">
        <f t="shared" si="61"/>
        <v>0</v>
      </c>
      <c r="I1051" s="355">
        <f>H1051+J1051-K1051</f>
        <v>0</v>
      </c>
      <c r="J1051" s="355"/>
      <c r="K1051" s="355"/>
      <c r="L1051" s="367"/>
      <c r="M1051" s="332"/>
      <c r="N1051" s="340"/>
      <c r="O1051" s="341"/>
    </row>
    <row r="1052" spans="1:15" ht="16.2">
      <c r="A1052" s="288"/>
      <c r="B1052" s="411" t="s">
        <v>952</v>
      </c>
      <c r="C1052" s="388" t="str">
        <f>IF(OR(I1052&lt;&gt;0,H1052&lt;&gt;0),"x"," ")</f>
        <v xml:space="preserve"> </v>
      </c>
      <c r="D1052" s="338"/>
      <c r="E1052" s="412" t="s">
        <v>953</v>
      </c>
      <c r="F1052" s="593" t="s">
        <v>775</v>
      </c>
      <c r="G1052" s="349">
        <f>'[3]pp3p2m '!CW82</f>
        <v>0</v>
      </c>
      <c r="H1052" s="349">
        <f>IFERROR(HLOOKUP(B1052,'BKT-ThuHoi'!$5:$183,179,0),0)</f>
        <v>0</v>
      </c>
      <c r="I1052" s="350">
        <f>H1052+J1052-K1052</f>
        <v>0</v>
      </c>
      <c r="J1052" s="350"/>
      <c r="K1052" s="350"/>
      <c r="L1052" s="348"/>
      <c r="M1052" s="332"/>
      <c r="N1052" s="340"/>
      <c r="O1052" s="341"/>
    </row>
    <row r="1053" spans="1:15" ht="16.2">
      <c r="A1053" s="288"/>
      <c r="B1053" s="351" t="s">
        <v>951</v>
      </c>
      <c r="C1053" s="388" t="str">
        <f>IF(OR(I1053&lt;&gt;0,H1053&lt;&gt;0),"x"," ")</f>
        <v xml:space="preserve"> </v>
      </c>
      <c r="D1053" s="338"/>
      <c r="E1053" s="358" t="str">
        <f>VLOOKUP($B1053,DG!A:D,DG!$C$2,)</f>
        <v>Uclevis</v>
      </c>
      <c r="F1053" s="594" t="str">
        <f>VLOOKUP($B1053,DG!A:D,DG!$D$2,)</f>
        <v>bộ</v>
      </c>
      <c r="G1053" s="595">
        <f>G1052</f>
        <v>0</v>
      </c>
      <c r="H1053" s="355">
        <f t="shared" si="61"/>
        <v>0</v>
      </c>
      <c r="I1053" s="355">
        <f>H1053+J1053-K1053</f>
        <v>0</v>
      </c>
      <c r="J1053" s="355"/>
      <c r="K1053" s="355"/>
      <c r="L1053" s="367"/>
      <c r="M1053" s="332"/>
      <c r="N1053" s="340"/>
      <c r="O1053" s="341"/>
    </row>
    <row r="1054" spans="1:15" ht="16.2">
      <c r="A1054" s="288"/>
      <c r="B1054" s="351" t="s">
        <v>717</v>
      </c>
      <c r="C1054" s="388" t="str">
        <f>IF(OR(I1054&lt;&gt;0,H1054&lt;&gt;0),"x"," ")</f>
        <v xml:space="preserve"> </v>
      </c>
      <c r="D1054" s="338"/>
      <c r="E1054" s="358" t="str">
        <f>VLOOKUP($B1054,DG!A:D,DG!$C$2,)</f>
        <v>Boulon 16x300</v>
      </c>
      <c r="F1054" s="594" t="str">
        <f>VLOOKUP($B1054,DG!A:D,DG!$D$2,)</f>
        <v>bộ</v>
      </c>
      <c r="G1054" s="595">
        <f>G1052</f>
        <v>0</v>
      </c>
      <c r="H1054" s="355">
        <f t="shared" si="61"/>
        <v>0</v>
      </c>
      <c r="I1054" s="355">
        <f>H1054+J1054-K1054</f>
        <v>0</v>
      </c>
      <c r="J1054" s="355"/>
      <c r="K1054" s="355"/>
      <c r="L1054" s="367"/>
      <c r="M1054" s="332"/>
      <c r="N1054" s="340"/>
      <c r="O1054" s="341"/>
    </row>
    <row r="1055" spans="1:15" ht="16.2">
      <c r="A1055" s="288"/>
      <c r="B1055" s="351" t="s">
        <v>954</v>
      </c>
      <c r="C1055" s="388" t="str">
        <f>IF(OR(I1055&lt;&gt;0,H1055&lt;&gt;0),"x"," ")</f>
        <v xml:space="preserve"> </v>
      </c>
      <c r="D1055" s="338"/>
      <c r="E1055" s="358" t="str">
        <f>VLOOKUP($B1055,DG!A:D,DG!$C$2,)</f>
        <v>Kẹp 2 rãnh (APC) cỡ dây 50mm2</v>
      </c>
      <c r="F1055" s="594" t="str">
        <f>VLOOKUP($B1055,DG!A:D,DG!$D$2,)</f>
        <v>cái</v>
      </c>
      <c r="G1055" s="595">
        <f>G1052*6</f>
        <v>0</v>
      </c>
      <c r="H1055" s="355">
        <f t="shared" si="61"/>
        <v>0</v>
      </c>
      <c r="I1055" s="355">
        <f>H1055+J1055-K1055</f>
        <v>0</v>
      </c>
      <c r="J1055" s="355"/>
      <c r="K1055" s="355"/>
      <c r="L1055" s="367"/>
      <c r="M1055" s="332"/>
      <c r="N1055" s="340"/>
      <c r="O1055" s="341"/>
    </row>
    <row r="1056" spans="1:15" ht="16.2">
      <c r="A1056" s="288"/>
      <c r="B1056" s="411" t="s">
        <v>955</v>
      </c>
      <c r="C1056" s="388" t="str">
        <f>IF(OR(I1056&lt;&gt;0,H1056&lt;&gt;0),"x"," ")</f>
        <v xml:space="preserve"> </v>
      </c>
      <c r="D1056" s="338"/>
      <c r="E1056" s="412" t="s">
        <v>956</v>
      </c>
      <c r="F1056" s="593" t="s">
        <v>775</v>
      </c>
      <c r="G1056" s="349">
        <f>'[3]pp3p2m '!CX82</f>
        <v>0</v>
      </c>
      <c r="H1056" s="349">
        <f>IFERROR(HLOOKUP(B1056,'BKT-ThuHoi'!$5:$183,179,0),0)</f>
        <v>0</v>
      </c>
      <c r="I1056" s="350">
        <f>H1056+J1056-K1056</f>
        <v>0</v>
      </c>
      <c r="J1056" s="350"/>
      <c r="K1056" s="350"/>
      <c r="L1056" s="348"/>
      <c r="M1056" s="332"/>
      <c r="N1056" s="340"/>
      <c r="O1056" s="341"/>
    </row>
    <row r="1057" spans="1:15" ht="16.2">
      <c r="A1057" s="288"/>
      <c r="B1057" s="413" t="s">
        <v>1065</v>
      </c>
      <c r="C1057" s="388" t="str">
        <f>IF(OR(I1057&lt;&gt;0,H1057&lt;&gt;0),"x"," ")</f>
        <v xml:space="preserve"> </v>
      </c>
      <c r="D1057" s="338"/>
      <c r="E1057" s="366" t="str">
        <f>VLOOKUP($B1057,DG!A:D,DG!$C$2,)</f>
        <v>Khóa néo dây cỡ dây 120</v>
      </c>
      <c r="F1057" s="594" t="str">
        <f>VLOOKUP($B1057,DG!A:D,DG!$D$2,)</f>
        <v>cái</v>
      </c>
      <c r="G1057" s="595">
        <f>G1056</f>
        <v>0</v>
      </c>
      <c r="H1057" s="355">
        <f t="shared" si="61"/>
        <v>0</v>
      </c>
      <c r="I1057" s="355">
        <f>H1057+J1057-K1057</f>
        <v>0</v>
      </c>
      <c r="J1057" s="355"/>
      <c r="K1057" s="355"/>
      <c r="L1057" s="367"/>
      <c r="M1057" s="332"/>
      <c r="N1057" s="340"/>
      <c r="O1057" s="341"/>
    </row>
    <row r="1058" spans="1:15" ht="16.2">
      <c r="A1058" s="288"/>
      <c r="B1058" s="351" t="s">
        <v>958</v>
      </c>
      <c r="C1058" s="388" t="str">
        <f>IF(OR(I1058&lt;&gt;0,H1058&lt;&gt;0),"x"," ")</f>
        <v xml:space="preserve"> </v>
      </c>
      <c r="D1058" s="338"/>
      <c r="E1058" s="366" t="str">
        <f>VLOOKUP($B1058,DG!A:D,DG!$C$2,)</f>
        <v xml:space="preserve">Móc treo chữ U </v>
      </c>
      <c r="F1058" s="594" t="str">
        <f>VLOOKUP($B1058,DG!A:D,DG!$D$2,)</f>
        <v>cái</v>
      </c>
      <c r="G1058" s="595">
        <f>G1056*2</f>
        <v>0</v>
      </c>
      <c r="H1058" s="355">
        <f t="shared" si="61"/>
        <v>0</v>
      </c>
      <c r="I1058" s="355">
        <f>H1058+J1058-K1058</f>
        <v>0</v>
      </c>
      <c r="J1058" s="355"/>
      <c r="K1058" s="355"/>
      <c r="L1058" s="367"/>
      <c r="M1058" s="332"/>
      <c r="N1058" s="340"/>
      <c r="O1058" s="341"/>
    </row>
    <row r="1059" spans="1:15" ht="16.2">
      <c r="A1059" s="288"/>
      <c r="B1059" s="351" t="s">
        <v>840</v>
      </c>
      <c r="C1059" s="388" t="str">
        <f>IF(OR(I1059&lt;&gt;0,H1059&lt;&gt;0),"x"," ")</f>
        <v xml:space="preserve"> </v>
      </c>
      <c r="D1059" s="338"/>
      <c r="E1059" s="366" t="str">
        <f>VLOOKUP($B1059,DG!A:D,DG!$C$2,)</f>
        <v>Boulon mắt 16x300</v>
      </c>
      <c r="F1059" s="594" t="str">
        <f>VLOOKUP($B1059,DG!A:D,DG!$D$2,)</f>
        <v>bộ</v>
      </c>
      <c r="G1059" s="595">
        <f>G1057</f>
        <v>0</v>
      </c>
      <c r="H1059" s="355">
        <f t="shared" si="61"/>
        <v>0</v>
      </c>
      <c r="I1059" s="355">
        <f>H1059+J1059-K1059</f>
        <v>0</v>
      </c>
      <c r="J1059" s="355"/>
      <c r="K1059" s="355"/>
      <c r="L1059" s="367"/>
      <c r="M1059" s="332"/>
      <c r="N1059" s="340"/>
      <c r="O1059" s="341"/>
    </row>
    <row r="1060" spans="1:15" ht="16.2">
      <c r="A1060" s="288"/>
      <c r="B1060" s="351" t="s">
        <v>1066</v>
      </c>
      <c r="C1060" s="388" t="str">
        <f>IF(OR(I1060&lt;&gt;0,H1060&lt;&gt;0),"x"," ")</f>
        <v xml:space="preserve"> </v>
      </c>
      <c r="D1060" s="338"/>
      <c r="E1060" s="366" t="str">
        <f>VLOOKUP($B1060,DG!A:D,DG!$C$2,)</f>
        <v>Kẹp ép WR cỡ dây 120mm2</v>
      </c>
      <c r="F1060" s="594" t="str">
        <f>VLOOKUP($B1060,DG!A:D,DG!$D$2,)</f>
        <v>cái</v>
      </c>
      <c r="G1060" s="595">
        <f>G1056</f>
        <v>0</v>
      </c>
      <c r="H1060" s="355">
        <f t="shared" si="61"/>
        <v>0</v>
      </c>
      <c r="I1060" s="355">
        <f>H1060+J1060-K1060</f>
        <v>0</v>
      </c>
      <c r="J1060" s="355"/>
      <c r="K1060" s="355"/>
      <c r="L1060" s="367"/>
      <c r="M1060" s="332"/>
      <c r="N1060" s="340"/>
      <c r="O1060" s="341"/>
    </row>
    <row r="1061" spans="1:15" ht="16.2">
      <c r="A1061" s="288"/>
      <c r="B1061" s="411" t="s">
        <v>961</v>
      </c>
      <c r="C1061" s="388" t="str">
        <f>IF(OR(I1061&lt;&gt;0,H1061&lt;&gt;0),"x"," ")</f>
        <v>x</v>
      </c>
      <c r="D1061" s="338"/>
      <c r="E1061" s="412" t="s">
        <v>962</v>
      </c>
      <c r="F1061" s="593" t="s">
        <v>775</v>
      </c>
      <c r="G1061" s="349">
        <f>'[3]pp3p2m '!CP82</f>
        <v>0</v>
      </c>
      <c r="H1061" s="349">
        <f>IFERROR(HLOOKUP(B1061,'BKT-ThuHoi'!$5:$183,179,0),0)</f>
        <v>193</v>
      </c>
      <c r="I1061" s="350">
        <f>H1061+J1061-K1061</f>
        <v>193</v>
      </c>
      <c r="J1061" s="350"/>
      <c r="K1061" s="350"/>
      <c r="L1061" s="348"/>
      <c r="M1061" s="332"/>
      <c r="N1061" s="340"/>
      <c r="O1061" s="341"/>
    </row>
    <row r="1062" spans="1:15" ht="16.2">
      <c r="A1062" s="288"/>
      <c r="B1062" s="351" t="s">
        <v>963</v>
      </c>
      <c r="C1062" s="388" t="str">
        <f>IF(OR(I1062&lt;&gt;0,H1062&lt;&gt;0),"x"," ")</f>
        <v xml:space="preserve"> </v>
      </c>
      <c r="D1062" s="338"/>
      <c r="E1062" s="358" t="str">
        <f>VLOOKUP($B1062,DG!A:D,DG!$C$2,)</f>
        <v xml:space="preserve">Sứ đứng 24KV </v>
      </c>
      <c r="F1062" s="594" t="str">
        <f>VLOOKUP($B1062,DG!A:D,DG!$D$2,)</f>
        <v>cái</v>
      </c>
      <c r="G1062" s="595">
        <f>G1061</f>
        <v>0</v>
      </c>
      <c r="H1062" s="355">
        <f t="shared" si="61"/>
        <v>0</v>
      </c>
      <c r="I1062" s="355">
        <f>H1062+J1062-K1062</f>
        <v>0</v>
      </c>
      <c r="J1062" s="355"/>
      <c r="K1062" s="355"/>
      <c r="L1062" s="367"/>
      <c r="M1062" s="332"/>
      <c r="N1062" s="340"/>
      <c r="O1062" s="341"/>
    </row>
    <row r="1063" spans="1:15" ht="16.2">
      <c r="A1063" s="288"/>
      <c r="B1063" s="351" t="s">
        <v>964</v>
      </c>
      <c r="C1063" s="388" t="str">
        <f>IF(OR(I1063&lt;&gt;0,H1063&lt;&gt;0),"x"," ")</f>
        <v xml:space="preserve"> </v>
      </c>
      <c r="D1063" s="338"/>
      <c r="E1063" s="358" t="str">
        <f>VLOOKUP($B1063,DG!A:D,DG!$C$2,)</f>
        <v>Chân sứ đứng D20</v>
      </c>
      <c r="F1063" s="594" t="str">
        <f>VLOOKUP($B1063,DG!A:D,DG!$D$2,)</f>
        <v>cái</v>
      </c>
      <c r="G1063" s="595">
        <f>G1061</f>
        <v>0</v>
      </c>
      <c r="H1063" s="355">
        <f t="shared" si="61"/>
        <v>0</v>
      </c>
      <c r="I1063" s="355">
        <f>H1063+J1063-K1063</f>
        <v>0</v>
      </c>
      <c r="J1063" s="355"/>
      <c r="K1063" s="355"/>
      <c r="L1063" s="367"/>
      <c r="M1063" s="332"/>
      <c r="N1063" s="340"/>
      <c r="O1063" s="341"/>
    </row>
    <row r="1064" spans="1:15" ht="16.2">
      <c r="A1064" s="288"/>
      <c r="B1064" s="411" t="s">
        <v>965</v>
      </c>
      <c r="C1064" s="388" t="str">
        <f>IF(OR(I1064&lt;&gt;0,H1064&lt;&gt;0),"x"," ")</f>
        <v xml:space="preserve"> </v>
      </c>
      <c r="D1064" s="338"/>
      <c r="E1064" s="412" t="s">
        <v>966</v>
      </c>
      <c r="F1064" s="593" t="s">
        <v>775</v>
      </c>
      <c r="G1064" s="349">
        <f>'[3]pp3p2m '!CN82</f>
        <v>0</v>
      </c>
      <c r="H1064" s="349">
        <f>IFERROR(HLOOKUP(B1064,'BKT-ThuHoi'!$5:$183,179,0),0)</f>
        <v>0</v>
      </c>
      <c r="I1064" s="350">
        <f>H1064+J1064-K1064</f>
        <v>0</v>
      </c>
      <c r="J1064" s="350"/>
      <c r="K1064" s="350"/>
      <c r="L1064" s="348"/>
      <c r="M1064" s="332"/>
      <c r="N1064" s="340"/>
      <c r="O1064" s="341"/>
    </row>
    <row r="1065" spans="1:15" ht="16.2">
      <c r="A1065" s="288"/>
      <c r="B1065" s="351" t="s">
        <v>963</v>
      </c>
      <c r="C1065" s="388" t="str">
        <f>IF(OR(I1065&lt;&gt;0,H1065&lt;&gt;0),"x"," ")</f>
        <v xml:space="preserve"> </v>
      </c>
      <c r="D1065" s="338"/>
      <c r="E1065" s="358" t="str">
        <f>VLOOKUP($B1065,DG!A:D,DG!$C$2,)</f>
        <v xml:space="preserve">Sứ đứng 24KV </v>
      </c>
      <c r="F1065" s="594" t="str">
        <f>VLOOKUP($B1065,DG!A:D,DG!$D$2,)</f>
        <v>cái</v>
      </c>
      <c r="G1065" s="595">
        <f>G1064</f>
        <v>0</v>
      </c>
      <c r="H1065" s="355">
        <f t="shared" si="61"/>
        <v>0</v>
      </c>
      <c r="I1065" s="355">
        <f>H1065+J1065-K1065</f>
        <v>0</v>
      </c>
      <c r="J1065" s="355"/>
      <c r="K1065" s="355"/>
      <c r="L1065" s="367"/>
      <c r="M1065" s="332"/>
      <c r="N1065" s="340"/>
      <c r="O1065" s="341"/>
    </row>
    <row r="1066" spans="1:15" ht="16.2">
      <c r="A1066" s="288"/>
      <c r="B1066" s="351" t="s">
        <v>706</v>
      </c>
      <c r="C1066" s="388" t="str">
        <f>IF(OR(I1066&lt;&gt;0,H1066&lt;&gt;0),"x"," ")</f>
        <v xml:space="preserve"> </v>
      </c>
      <c r="D1066" s="338"/>
      <c r="E1066" s="358" t="str">
        <f>VLOOKUP($B1066,DG!A:D,DG!$C$2,)</f>
        <v>Chân sứ đỉnh thẳng dài 870mm</v>
      </c>
      <c r="F1066" s="594" t="str">
        <f>VLOOKUP($B1066,DG!A:D,DG!$D$2,)</f>
        <v>cái</v>
      </c>
      <c r="G1066" s="595">
        <f>G1064</f>
        <v>0</v>
      </c>
      <c r="H1066" s="355">
        <f t="shared" si="61"/>
        <v>0</v>
      </c>
      <c r="I1066" s="355">
        <f>H1066+J1066-K1066</f>
        <v>0</v>
      </c>
      <c r="J1066" s="355"/>
      <c r="K1066" s="355"/>
      <c r="L1066" s="367"/>
      <c r="M1066" s="332"/>
      <c r="N1066" s="340"/>
      <c r="O1066" s="341"/>
    </row>
    <row r="1067" spans="1:15" ht="16.2">
      <c r="A1067" s="288"/>
      <c r="B1067" s="351" t="s">
        <v>717</v>
      </c>
      <c r="C1067" s="388" t="str">
        <f>IF(OR(I1067&lt;&gt;0,H1067&lt;&gt;0),"x"," ")</f>
        <v xml:space="preserve"> </v>
      </c>
      <c r="D1067" s="338"/>
      <c r="E1067" s="358" t="str">
        <f>VLOOKUP($B1067,DG!A:D,DG!$C$2,)</f>
        <v>Boulon 16x300</v>
      </c>
      <c r="F1067" s="594" t="str">
        <f>VLOOKUP($B1067,DG!A:D,DG!$D$2,)</f>
        <v>bộ</v>
      </c>
      <c r="G1067" s="595">
        <f>G1064*2</f>
        <v>0</v>
      </c>
      <c r="H1067" s="355">
        <f t="shared" si="61"/>
        <v>0</v>
      </c>
      <c r="I1067" s="355">
        <f>H1067+J1067-K1067</f>
        <v>0</v>
      </c>
      <c r="J1067" s="355"/>
      <c r="K1067" s="355"/>
      <c r="L1067" s="367"/>
      <c r="M1067" s="332"/>
      <c r="N1067" s="340"/>
      <c r="O1067" s="341"/>
    </row>
    <row r="1068" spans="1:15" ht="16.2">
      <c r="A1068" s="361"/>
      <c r="B1068" s="415" t="s">
        <v>967</v>
      </c>
      <c r="C1068" s="388" t="str">
        <f>IF(OR(I1068&lt;&gt;0,H1068&lt;&gt;0),"x"," ")</f>
        <v xml:space="preserve"> </v>
      </c>
      <c r="D1068" s="363"/>
      <c r="E1068" s="412" t="s">
        <v>968</v>
      </c>
      <c r="F1068" s="593" t="s">
        <v>775</v>
      </c>
      <c r="G1068" s="349">
        <f>'[3]pp3p2m '!CO82</f>
        <v>0</v>
      </c>
      <c r="H1068" s="349">
        <f>IFERROR(HLOOKUP(B1068,'BKT-ThuHoi'!$5:$183,179,0),0)</f>
        <v>0</v>
      </c>
      <c r="I1068" s="350">
        <f>H1068+J1068-K1068</f>
        <v>0</v>
      </c>
      <c r="J1068" s="350"/>
      <c r="K1068" s="350"/>
      <c r="L1068" s="348"/>
      <c r="M1068" s="332"/>
      <c r="N1068" s="340"/>
      <c r="O1068" s="341"/>
    </row>
    <row r="1069" spans="1:15" ht="16.2">
      <c r="A1069" s="361"/>
      <c r="B1069" s="351" t="s">
        <v>963</v>
      </c>
      <c r="C1069" s="388" t="str">
        <f>IF(OR(I1069&lt;&gt;0,H1069&lt;&gt;0),"x"," ")</f>
        <v xml:space="preserve"> </v>
      </c>
      <c r="D1069" s="363"/>
      <c r="E1069" s="358" t="str">
        <f>VLOOKUP($B1069,DG!A:D,DG!$C$2,)</f>
        <v xml:space="preserve">Sứ đứng 24KV </v>
      </c>
      <c r="F1069" s="594" t="str">
        <f>VLOOKUP($B1069,DG!A:D,DG!$D$2,)</f>
        <v>cái</v>
      </c>
      <c r="G1069" s="595">
        <f>G1068*2</f>
        <v>0</v>
      </c>
      <c r="H1069" s="355">
        <f t="shared" si="61"/>
        <v>0</v>
      </c>
      <c r="I1069" s="355">
        <f>H1069+J1069-K1069</f>
        <v>0</v>
      </c>
      <c r="J1069" s="355"/>
      <c r="K1069" s="355"/>
      <c r="L1069" s="367"/>
      <c r="M1069" s="332"/>
      <c r="N1069" s="340"/>
      <c r="O1069" s="341"/>
    </row>
    <row r="1070" spans="1:15" ht="16.2">
      <c r="A1070" s="361"/>
      <c r="B1070" s="351" t="s">
        <v>969</v>
      </c>
      <c r="C1070" s="388" t="str">
        <f>IF(OR(I1070&lt;&gt;0,H1070&lt;&gt;0),"x"," ")</f>
        <v xml:space="preserve"> </v>
      </c>
      <c r="D1070" s="363"/>
      <c r="E1070" s="358" t="str">
        <f>VLOOKUP($B1070,DG!A:D,DG!$C$2,)</f>
        <v>Chân sứ đỉnh đỡ góc dài 870mm</v>
      </c>
      <c r="F1070" s="594" t="str">
        <f>VLOOKUP($B1070,DG!A:D,DG!$D$2,)</f>
        <v>cái</v>
      </c>
      <c r="G1070" s="595">
        <f>G1068*2</f>
        <v>0</v>
      </c>
      <c r="H1070" s="355">
        <f t="shared" si="61"/>
        <v>0</v>
      </c>
      <c r="I1070" s="355">
        <f>H1070+J1070-K1070</f>
        <v>0</v>
      </c>
      <c r="J1070" s="355"/>
      <c r="K1070" s="355"/>
      <c r="L1070" s="367"/>
      <c r="M1070" s="332"/>
      <c r="N1070" s="340"/>
      <c r="O1070" s="341"/>
    </row>
    <row r="1071" spans="1:15" ht="16.2">
      <c r="A1071" s="361"/>
      <c r="B1071" s="351" t="s">
        <v>717</v>
      </c>
      <c r="C1071" s="388" t="str">
        <f>IF(OR(I1071&lt;&gt;0,H1071&lt;&gt;0),"x"," ")</f>
        <v xml:space="preserve"> </v>
      </c>
      <c r="D1071" s="363"/>
      <c r="E1071" s="358" t="str">
        <f>VLOOKUP($B1071,DG!A:D,DG!$C$2,)</f>
        <v>Boulon 16x300</v>
      </c>
      <c r="F1071" s="594" t="str">
        <f>VLOOKUP($B1071,DG!A:D,DG!$D$2,)</f>
        <v>bộ</v>
      </c>
      <c r="G1071" s="595">
        <f>G1068*2</f>
        <v>0</v>
      </c>
      <c r="H1071" s="355">
        <f t="shared" si="61"/>
        <v>0</v>
      </c>
      <c r="I1071" s="355">
        <f>H1071+J1071-K1071</f>
        <v>0</v>
      </c>
      <c r="J1071" s="355"/>
      <c r="K1071" s="355"/>
      <c r="L1071" s="367"/>
      <c r="M1071" s="332"/>
      <c r="N1071" s="340"/>
      <c r="O1071" s="341"/>
    </row>
    <row r="1072" spans="1:15" ht="16.2">
      <c r="A1072" s="288"/>
      <c r="B1072" s="411" t="s">
        <v>970</v>
      </c>
      <c r="C1072" s="388" t="str">
        <f>IF(OR(I1072&lt;&gt;0,H1072&lt;&gt;0),"x"," ")</f>
        <v xml:space="preserve"> </v>
      </c>
      <c r="D1072" s="338"/>
      <c r="E1072" s="412" t="s">
        <v>1067</v>
      </c>
      <c r="F1072" s="593" t="s">
        <v>972</v>
      </c>
      <c r="G1072" s="349"/>
      <c r="H1072" s="349">
        <f>IFERROR(HLOOKUP(B1072,'BKT-ThuHoi'!$5:$183,179,0),0)</f>
        <v>0</v>
      </c>
      <c r="I1072" s="350">
        <f>H1072+J1072-K1072</f>
        <v>0</v>
      </c>
      <c r="J1072" s="350"/>
      <c r="K1072" s="350"/>
      <c r="L1072" s="348"/>
      <c r="M1072" s="332"/>
      <c r="N1072" s="340"/>
      <c r="O1072" s="341"/>
    </row>
    <row r="1073" spans="1:15" ht="16.2">
      <c r="A1073" s="288"/>
      <c r="B1073" s="351" t="s">
        <v>973</v>
      </c>
      <c r="C1073" s="388" t="str">
        <f>IF(OR(I1073&lt;&gt;0,H1073&lt;&gt;0),"x"," ")</f>
        <v xml:space="preserve"> </v>
      </c>
      <c r="D1073" s="338"/>
      <c r="E1073" s="358" t="str">
        <f>VLOOKUP($B1073,DG!A:D,DG!$C$2,)</f>
        <v>Sứ treo loại 70kN</v>
      </c>
      <c r="F1073" s="594" t="str">
        <f>VLOOKUP($B1073,DG!A:D,DG!$D$2,)</f>
        <v>bát</v>
      </c>
      <c r="G1073" s="595">
        <f>G1072*2</f>
        <v>0</v>
      </c>
      <c r="H1073" s="355">
        <f t="shared" si="61"/>
        <v>0</v>
      </c>
      <c r="I1073" s="355">
        <f>H1073+J1073-K1073</f>
        <v>0</v>
      </c>
      <c r="J1073" s="355"/>
      <c r="K1073" s="355"/>
      <c r="L1073" s="367"/>
      <c r="M1073" s="332"/>
      <c r="N1073" s="340"/>
      <c r="O1073" s="341"/>
    </row>
    <row r="1074" spans="1:15" ht="16.2">
      <c r="A1074" s="288"/>
      <c r="B1074" s="351" t="s">
        <v>958</v>
      </c>
      <c r="C1074" s="388" t="str">
        <f>IF(OR(I1074&lt;&gt;0,H1074&lt;&gt;0),"x"," ")</f>
        <v xml:space="preserve"> </v>
      </c>
      <c r="D1074" s="338"/>
      <c r="E1074" s="358" t="str">
        <f>VLOOKUP($B1074,DG!A:D,DG!$C$2,)</f>
        <v xml:space="preserve">Móc treo chữ U </v>
      </c>
      <c r="F1074" s="594" t="str">
        <f>VLOOKUP($B1074,DG!A:D,DG!$D$2,)</f>
        <v>cái</v>
      </c>
      <c r="G1074" s="595">
        <f>G1072*2</f>
        <v>0</v>
      </c>
      <c r="H1074" s="355">
        <f t="shared" si="61"/>
        <v>0</v>
      </c>
      <c r="I1074" s="355">
        <f>H1074+J1074-K1074</f>
        <v>0</v>
      </c>
      <c r="J1074" s="355"/>
      <c r="K1074" s="355"/>
      <c r="L1074" s="367"/>
      <c r="M1074" s="332"/>
      <c r="N1074" s="340"/>
      <c r="O1074" s="341"/>
    </row>
    <row r="1075" spans="1:15" ht="16.2">
      <c r="A1075" s="288"/>
      <c r="B1075" s="351" t="s">
        <v>974</v>
      </c>
      <c r="C1075" s="388" t="str">
        <f>IF(OR(I1075&lt;&gt;0,H1075&lt;&gt;0),"x"," ")</f>
        <v xml:space="preserve"> </v>
      </c>
      <c r="D1075" s="338"/>
      <c r="E1075" s="358" t="str">
        <f>VLOOKUP($B1075,DG!A:D,DG!$C$2,)</f>
        <v>Vòng treo đầu tròn</v>
      </c>
      <c r="F1075" s="594" t="str">
        <f>VLOOKUP($B1075,DG!A:D,DG!$D$2,)</f>
        <v>cái</v>
      </c>
      <c r="G1075" s="595">
        <f>G1072</f>
        <v>0</v>
      </c>
      <c r="H1075" s="355">
        <f t="shared" si="61"/>
        <v>0</v>
      </c>
      <c r="I1075" s="355">
        <f>H1075+J1075-K1075</f>
        <v>0</v>
      </c>
      <c r="J1075" s="355"/>
      <c r="K1075" s="355"/>
      <c r="L1075" s="367"/>
      <c r="M1075" s="332"/>
      <c r="N1075" s="340"/>
      <c r="O1075" s="341"/>
    </row>
    <row r="1076" spans="1:15" ht="16.2">
      <c r="A1076" s="288"/>
      <c r="B1076" s="351" t="s">
        <v>975</v>
      </c>
      <c r="C1076" s="388" t="str">
        <f>IF(OR(I1076&lt;&gt;0,H1076&lt;&gt;0),"x"," ")</f>
        <v xml:space="preserve"> </v>
      </c>
      <c r="D1076" s="338"/>
      <c r="E1076" s="358" t="str">
        <f>VLOOKUP($B1076,DG!A:D,DG!$C$2,)</f>
        <v>Mắt nối đơn</v>
      </c>
      <c r="F1076" s="594" t="str">
        <f>VLOOKUP($B1076,DG!A:D,DG!$D$2,)</f>
        <v>cái</v>
      </c>
      <c r="G1076" s="595">
        <f>G1072</f>
        <v>0</v>
      </c>
      <c r="H1076" s="355">
        <f t="shared" si="61"/>
        <v>0</v>
      </c>
      <c r="I1076" s="355">
        <f>H1076+J1076-K1076</f>
        <v>0</v>
      </c>
      <c r="J1076" s="355"/>
      <c r="K1076" s="355"/>
      <c r="L1076" s="367"/>
      <c r="M1076" s="332"/>
      <c r="N1076" s="340"/>
      <c r="O1076" s="341"/>
    </row>
    <row r="1077" spans="1:15" ht="16.2">
      <c r="A1077" s="288"/>
      <c r="B1077" s="351" t="s">
        <v>976</v>
      </c>
      <c r="C1077" s="388" t="str">
        <f>IF(OR(I1077&lt;&gt;0,H1077&lt;&gt;0),"x"," ")</f>
        <v xml:space="preserve"> </v>
      </c>
      <c r="D1077" s="338"/>
      <c r="E1077" s="358" t="str">
        <f>VLOOKUP($B1077,DG!A:D,DG!$C$2,)</f>
        <v>Boulon mắt 16x300</v>
      </c>
      <c r="F1077" s="594" t="str">
        <f>VLOOKUP($B1077,DG!A:D,DG!$D$2,)</f>
        <v>bộ</v>
      </c>
      <c r="G1077" s="595">
        <f>G1072</f>
        <v>0</v>
      </c>
      <c r="H1077" s="355">
        <f t="shared" si="61"/>
        <v>0</v>
      </c>
      <c r="I1077" s="355">
        <f>H1077+J1077-K1077</f>
        <v>0</v>
      </c>
      <c r="J1077" s="355"/>
      <c r="K1077" s="355"/>
      <c r="L1077" s="367"/>
      <c r="M1077" s="332"/>
      <c r="N1077" s="340"/>
      <c r="O1077" s="341"/>
    </row>
    <row r="1078" spans="1:15" ht="16.2">
      <c r="A1078" s="288"/>
      <c r="B1078" s="411" t="s">
        <v>1068</v>
      </c>
      <c r="C1078" s="388" t="str">
        <f>IF(OR(I1078&lt;&gt;0,H1078&lt;&gt;0),"x"," ")</f>
        <v xml:space="preserve"> </v>
      </c>
      <c r="D1078" s="423"/>
      <c r="E1078" s="412" t="s">
        <v>1069</v>
      </c>
      <c r="F1078" s="593" t="s">
        <v>972</v>
      </c>
      <c r="G1078" s="349"/>
      <c r="H1078" s="349">
        <f>IFERROR(HLOOKUP(B1078,'BKT-ThuHoi'!$5:$183,179,0),0)</f>
        <v>0</v>
      </c>
      <c r="I1078" s="350">
        <f>H1078+J1078-K1078</f>
        <v>0</v>
      </c>
      <c r="J1078" s="350"/>
      <c r="K1078" s="350"/>
      <c r="L1078" s="348"/>
      <c r="M1078" s="332"/>
      <c r="N1078" s="340"/>
      <c r="O1078" s="341"/>
    </row>
    <row r="1079" spans="1:15" ht="16.2">
      <c r="A1079" s="288"/>
      <c r="B1079" s="351" t="s">
        <v>979</v>
      </c>
      <c r="C1079" s="388" t="str">
        <f>IF(OR(I1079&lt;&gt;0,H1079&lt;&gt;0),"x"," ")</f>
        <v xml:space="preserve"> </v>
      </c>
      <c r="D1079" s="338"/>
      <c r="E1079" s="358" t="str">
        <f>VLOOKUP($B1079,DG!A:D,DG!$C$2,)</f>
        <v>Sứ treo loại 70kN</v>
      </c>
      <c r="F1079" s="594" t="str">
        <f>VLOOKUP($B1079,DG!A:D,DG!$D$2,)</f>
        <v>bát</v>
      </c>
      <c r="G1079" s="595">
        <f>G1078*2</f>
        <v>0</v>
      </c>
      <c r="H1079" s="355">
        <f t="shared" si="61"/>
        <v>0</v>
      </c>
      <c r="I1079" s="355">
        <f>H1079+J1079-K1079</f>
        <v>0</v>
      </c>
      <c r="J1079" s="355"/>
      <c r="K1079" s="355"/>
      <c r="L1079" s="367"/>
      <c r="M1079" s="332"/>
      <c r="N1079" s="340"/>
      <c r="O1079" s="341"/>
    </row>
    <row r="1080" spans="1:15" ht="16.2">
      <c r="A1080" s="288"/>
      <c r="B1080" s="351" t="s">
        <v>958</v>
      </c>
      <c r="C1080" s="388" t="str">
        <f>IF(OR(I1080&lt;&gt;0,H1080&lt;&gt;0),"x"," ")</f>
        <v xml:space="preserve"> </v>
      </c>
      <c r="D1080" s="338"/>
      <c r="E1080" s="358" t="str">
        <f>VLOOKUP($B1080,DG!A:D,DG!$C$2,)</f>
        <v xml:space="preserve">Móc treo chữ U </v>
      </c>
      <c r="F1080" s="594" t="str">
        <f>VLOOKUP($B1080,DG!A:D,DG!$D$2,)</f>
        <v>cái</v>
      </c>
      <c r="G1080" s="595">
        <f>G1078*2</f>
        <v>0</v>
      </c>
      <c r="H1080" s="355">
        <f t="shared" si="61"/>
        <v>0</v>
      </c>
      <c r="I1080" s="355">
        <f>H1080+J1080-K1080</f>
        <v>0</v>
      </c>
      <c r="J1080" s="355"/>
      <c r="K1080" s="355"/>
      <c r="L1080" s="367"/>
      <c r="M1080" s="332"/>
      <c r="N1080" s="340"/>
      <c r="O1080" s="341"/>
    </row>
    <row r="1081" spans="1:15" ht="16.2">
      <c r="A1081" s="288"/>
      <c r="B1081" s="411" t="s">
        <v>1068</v>
      </c>
      <c r="C1081" s="388" t="str">
        <f>IF(OR(I1081&lt;&gt;0,H1081&lt;&gt;0),"x"," ")</f>
        <v xml:space="preserve"> </v>
      </c>
      <c r="D1081" s="423"/>
      <c r="E1081" s="412" t="s">
        <v>1069</v>
      </c>
      <c r="F1081" s="593" t="s">
        <v>972</v>
      </c>
      <c r="G1081" s="349"/>
      <c r="H1081" s="349">
        <f>IFERROR(HLOOKUP(B1081,'BKT-ThuHoi'!$5:$183,179,0),0)</f>
        <v>0</v>
      </c>
      <c r="I1081" s="350">
        <f>H1081+J1081-K1081</f>
        <v>0</v>
      </c>
      <c r="J1081" s="350"/>
      <c r="K1081" s="350"/>
      <c r="L1081" s="348"/>
      <c r="M1081" s="332"/>
      <c r="N1081" s="340"/>
      <c r="O1081" s="341"/>
    </row>
    <row r="1082" spans="1:15" ht="16.2">
      <c r="A1082" s="288"/>
      <c r="B1082" s="351" t="s">
        <v>979</v>
      </c>
      <c r="C1082" s="388" t="str">
        <f>IF(OR(I1082&lt;&gt;0,H1082&lt;&gt;0),"x"," ")</f>
        <v xml:space="preserve"> </v>
      </c>
      <c r="D1082" s="338"/>
      <c r="E1082" s="358" t="str">
        <f>VLOOKUP($B1082,DG!A:D,DG!$C$2,)</f>
        <v>Sứ treo loại 70kN</v>
      </c>
      <c r="F1082" s="594" t="str">
        <f>VLOOKUP($B1082,DG!A:D,DG!$D$2,)</f>
        <v>bát</v>
      </c>
      <c r="G1082" s="595">
        <f>G1081*2</f>
        <v>0</v>
      </c>
      <c r="H1082" s="355">
        <f t="shared" si="61"/>
        <v>0</v>
      </c>
      <c r="I1082" s="355">
        <f>H1082+J1082-K1082</f>
        <v>0</v>
      </c>
      <c r="J1082" s="355"/>
      <c r="K1082" s="355"/>
      <c r="L1082" s="367"/>
      <c r="M1082" s="332"/>
      <c r="N1082" s="340"/>
      <c r="O1082" s="341"/>
    </row>
    <row r="1083" spans="1:15" ht="16.2">
      <c r="A1083" s="288"/>
      <c r="B1083" s="351" t="s">
        <v>958</v>
      </c>
      <c r="C1083" s="388" t="str">
        <f>IF(OR(I1083&lt;&gt;0,H1083&lt;&gt;0),"x"," ")</f>
        <v xml:space="preserve"> </v>
      </c>
      <c r="D1083" s="338"/>
      <c r="E1083" s="358" t="str">
        <f>VLOOKUP($B1083,DG!A:D,DG!$C$2,)</f>
        <v xml:space="preserve">Móc treo chữ U </v>
      </c>
      <c r="F1083" s="594" t="str">
        <f>VLOOKUP($B1083,DG!A:D,DG!$D$2,)</f>
        <v>cái</v>
      </c>
      <c r="G1083" s="595">
        <f>G1081*2</f>
        <v>0</v>
      </c>
      <c r="H1083" s="355">
        <f t="shared" si="61"/>
        <v>0</v>
      </c>
      <c r="I1083" s="355">
        <f>H1083+J1083-K1083</f>
        <v>0</v>
      </c>
      <c r="J1083" s="355"/>
      <c r="K1083" s="355"/>
      <c r="L1083" s="367"/>
      <c r="M1083" s="332"/>
      <c r="N1083" s="340"/>
      <c r="O1083" s="341"/>
    </row>
    <row r="1084" spans="1:15" ht="16.2">
      <c r="A1084" s="288"/>
      <c r="B1084" s="411" t="s">
        <v>977</v>
      </c>
      <c r="C1084" s="388" t="str">
        <f>IF(OR(I1084&lt;&gt;0,H1084&lt;&gt;0),"x"," ")</f>
        <v xml:space="preserve"> </v>
      </c>
      <c r="D1084" s="338"/>
      <c r="E1084" s="412" t="s">
        <v>1070</v>
      </c>
      <c r="F1084" s="593" t="s">
        <v>972</v>
      </c>
      <c r="G1084" s="349">
        <f>'[3]pp3p2m '!CQ82</f>
        <v>0</v>
      </c>
      <c r="H1084" s="349">
        <f>IFERROR(HLOOKUP(B1084,'BKT-ThuHoi'!$5:$183,179,0),0)</f>
        <v>0</v>
      </c>
      <c r="I1084" s="350">
        <f>H1084+J1084-K1084</f>
        <v>0</v>
      </c>
      <c r="J1084" s="350"/>
      <c r="K1084" s="350"/>
      <c r="L1084" s="348"/>
      <c r="M1084" s="332"/>
      <c r="N1084" s="340"/>
      <c r="O1084" s="341"/>
    </row>
    <row r="1085" spans="1:15" ht="16.2">
      <c r="A1085" s="288"/>
      <c r="B1085" s="351" t="s">
        <v>982</v>
      </c>
      <c r="C1085" s="388" t="str">
        <f>IF(OR(I1085&lt;&gt;0,H1085&lt;&gt;0),"x"," ")</f>
        <v xml:space="preserve"> </v>
      </c>
      <c r="D1085" s="338"/>
      <c r="E1085" s="358" t="str">
        <f>VLOOKUP($B1085,DG!A:D,DG!$C$2,)</f>
        <v>Sứ treo polymer</v>
      </c>
      <c r="F1085" s="594" t="str">
        <f>VLOOKUP($B1085,DG!A:D,DG!$D$2,)</f>
        <v>chuỗi</v>
      </c>
      <c r="G1085" s="595">
        <f>G1084</f>
        <v>0</v>
      </c>
      <c r="H1085" s="355">
        <f t="shared" si="61"/>
        <v>0</v>
      </c>
      <c r="I1085" s="355">
        <f>H1085+J1085-K1085</f>
        <v>0</v>
      </c>
      <c r="J1085" s="355"/>
      <c r="K1085" s="355"/>
      <c r="L1085" s="367"/>
      <c r="M1085" s="332"/>
      <c r="N1085" s="340"/>
      <c r="O1085" s="341"/>
    </row>
    <row r="1086" spans="1:15" ht="16.2">
      <c r="A1086" s="288"/>
      <c r="B1086" s="351" t="s">
        <v>958</v>
      </c>
      <c r="C1086" s="388" t="str">
        <f>IF(OR(I1086&lt;&gt;0,H1086&lt;&gt;0),"x"," ")</f>
        <v xml:space="preserve"> </v>
      </c>
      <c r="D1086" s="338"/>
      <c r="E1086" s="358" t="str">
        <f>VLOOKUP($B1086,DG!A:D,DG!$C$2,)</f>
        <v xml:space="preserve">Móc treo chữ U </v>
      </c>
      <c r="F1086" s="594" t="str">
        <f>VLOOKUP($B1086,DG!A:D,DG!$D$2,)</f>
        <v>cái</v>
      </c>
      <c r="G1086" s="595">
        <f>G1084*2</f>
        <v>0</v>
      </c>
      <c r="H1086" s="355">
        <f t="shared" si="61"/>
        <v>0</v>
      </c>
      <c r="I1086" s="355">
        <f>H1086+J1086-K1086</f>
        <v>0</v>
      </c>
      <c r="J1086" s="355"/>
      <c r="K1086" s="355"/>
      <c r="L1086" s="367"/>
      <c r="M1086" s="332"/>
      <c r="N1086" s="340"/>
      <c r="O1086" s="341"/>
    </row>
    <row r="1087" spans="1:15" ht="16.2">
      <c r="A1087" s="288"/>
      <c r="B1087" s="351" t="s">
        <v>974</v>
      </c>
      <c r="C1087" s="388" t="str">
        <f>IF(OR(I1087&lt;&gt;0,H1087&lt;&gt;0),"x"," ")</f>
        <v xml:space="preserve"> </v>
      </c>
      <c r="D1087" s="338"/>
      <c r="E1087" s="358" t="str">
        <f>VLOOKUP($B1087,DG!A:D,DG!$C$2,)</f>
        <v>Vòng treo đầu tròn</v>
      </c>
      <c r="F1087" s="594" t="str">
        <f>VLOOKUP($B1087,DG!A:D,DG!$D$2,)</f>
        <v>cái</v>
      </c>
      <c r="G1087" s="595">
        <f>G1084</f>
        <v>0</v>
      </c>
      <c r="H1087" s="355">
        <f t="shared" si="61"/>
        <v>0</v>
      </c>
      <c r="I1087" s="355">
        <f>H1087+J1087-K1087</f>
        <v>0</v>
      </c>
      <c r="J1087" s="355"/>
      <c r="K1087" s="355"/>
      <c r="L1087" s="367"/>
      <c r="M1087" s="332"/>
      <c r="N1087" s="340"/>
      <c r="O1087" s="341"/>
    </row>
    <row r="1088" spans="1:15" ht="16.2">
      <c r="A1088" s="288"/>
      <c r="B1088" s="351" t="s">
        <v>975</v>
      </c>
      <c r="C1088" s="388" t="str">
        <f>IF(OR(I1088&lt;&gt;0,H1088&lt;&gt;0),"x"," ")</f>
        <v xml:space="preserve"> </v>
      </c>
      <c r="D1088" s="338"/>
      <c r="E1088" s="358" t="str">
        <f>VLOOKUP($B1088,DG!A:D,DG!$C$2,)</f>
        <v>Mắt nối đơn</v>
      </c>
      <c r="F1088" s="594" t="str">
        <f>VLOOKUP($B1088,DG!A:D,DG!$D$2,)</f>
        <v>cái</v>
      </c>
      <c r="G1088" s="595">
        <f>G1084</f>
        <v>0</v>
      </c>
      <c r="H1088" s="355">
        <f t="shared" si="61"/>
        <v>0</v>
      </c>
      <c r="I1088" s="355">
        <f>H1088+J1088-K1088</f>
        <v>0</v>
      </c>
      <c r="J1088" s="355"/>
      <c r="K1088" s="355"/>
      <c r="L1088" s="367"/>
      <c r="M1088" s="332"/>
      <c r="N1088" s="340"/>
      <c r="O1088" s="341"/>
    </row>
    <row r="1089" spans="1:15" ht="16.2">
      <c r="A1089" s="288"/>
      <c r="B1089" s="424" t="s">
        <v>1071</v>
      </c>
      <c r="C1089" s="388" t="str">
        <f>IF(OR(I1089&lt;&gt;0,H1089&lt;&gt;0),"x"," ")</f>
        <v xml:space="preserve"> </v>
      </c>
      <c r="D1089" s="338"/>
      <c r="E1089" s="358" t="str">
        <f>VLOOKUP($B1089,DG!A:D,DG!$C$2,)</f>
        <v>Giáp níu dừng dây bọc 185</v>
      </c>
      <c r="F1089" s="594" t="str">
        <f>VLOOKUP($B1089,DG!A:D,DG!$D$2,)</f>
        <v>cái</v>
      </c>
      <c r="G1089" s="595">
        <f>'[3]pp3p2m '!EB82</f>
        <v>0</v>
      </c>
      <c r="H1089" s="355">
        <f t="shared" si="61"/>
        <v>0</v>
      </c>
      <c r="I1089" s="355">
        <f>H1089+J1089-K1089</f>
        <v>0</v>
      </c>
      <c r="J1089" s="355"/>
      <c r="K1089" s="355"/>
      <c r="L1089" s="367"/>
      <c r="M1089" s="332"/>
      <c r="N1089" s="340"/>
      <c r="O1089" s="341"/>
    </row>
    <row r="1090" spans="1:15" ht="16.2">
      <c r="A1090" s="288"/>
      <c r="B1090" s="417" t="s">
        <v>984</v>
      </c>
      <c r="C1090" s="388" t="str">
        <f>IF(OR(I1090&lt;&gt;0,H1090&lt;&gt;0),"x"," ")</f>
        <v xml:space="preserve"> </v>
      </c>
      <c r="D1090" s="338"/>
      <c r="E1090" s="358" t="str">
        <f>VLOOKUP($B1090,DG!A:D,DG!$C$2,)</f>
        <v>Khóa đỡ dây cỡ dây 240</v>
      </c>
      <c r="F1090" s="594" t="str">
        <f>VLOOKUP($B1090,DG!A:D,DG!$D$2,)</f>
        <v>cái</v>
      </c>
      <c r="G1090" s="595">
        <f>HLOOKUP(B1090,'[3]pp3p2m '!$EE$81:$EK$82,2,)</f>
        <v>0</v>
      </c>
      <c r="H1090" s="355">
        <f t="shared" si="61"/>
        <v>0</v>
      </c>
      <c r="I1090" s="355">
        <f>H1090+J1090-K1090</f>
        <v>0</v>
      </c>
      <c r="J1090" s="355"/>
      <c r="K1090" s="355"/>
      <c r="L1090" s="367"/>
      <c r="M1090" s="332"/>
      <c r="N1090" s="340"/>
      <c r="O1090" s="341"/>
    </row>
    <row r="1091" spans="1:15" ht="16.2">
      <c r="A1091" s="288"/>
      <c r="B1091" s="417" t="s">
        <v>985</v>
      </c>
      <c r="C1091" s="388" t="str">
        <f>IF(OR(I1091&lt;&gt;0,H1091&lt;&gt;0),"x"," ")</f>
        <v xml:space="preserve"> </v>
      </c>
      <c r="D1091" s="338"/>
      <c r="E1091" s="358" t="str">
        <f>VLOOKUP($B1091,DG!A:D,DG!$C$2,)</f>
        <v>Khóa đỡ dây cỡ dây 185</v>
      </c>
      <c r="F1091" s="594" t="str">
        <f>VLOOKUP($B1091,DG!A:D,DG!$D$2,)</f>
        <v>cái</v>
      </c>
      <c r="G1091" s="595">
        <f>HLOOKUP(B1091,'[3]pp3p2m '!$EE$81:$EK$82,2,)</f>
        <v>0</v>
      </c>
      <c r="H1091" s="355">
        <f t="shared" si="61"/>
        <v>0</v>
      </c>
      <c r="I1091" s="355">
        <f>H1091+J1091-K1091</f>
        <v>0</v>
      </c>
      <c r="J1091" s="355"/>
      <c r="K1091" s="355"/>
      <c r="L1091" s="367"/>
      <c r="M1091" s="332"/>
      <c r="N1091" s="340"/>
      <c r="O1091" s="341"/>
    </row>
    <row r="1092" spans="1:15" ht="16.2">
      <c r="A1092" s="288"/>
      <c r="B1092" s="417" t="s">
        <v>986</v>
      </c>
      <c r="C1092" s="388" t="str">
        <f>IF(OR(I1092&lt;&gt;0,H1092&lt;&gt;0),"x"," ")</f>
        <v xml:space="preserve"> </v>
      </c>
      <c r="D1092" s="338"/>
      <c r="E1092" s="358" t="str">
        <f>VLOOKUP($B1092,DG!A:D,DG!$C$2,)</f>
        <v>Khóa đỡ dây cỡ dây 150</v>
      </c>
      <c r="F1092" s="594" t="str">
        <f>VLOOKUP($B1092,DG!A:D,DG!$D$2,)</f>
        <v>cái</v>
      </c>
      <c r="G1092" s="595">
        <f>HLOOKUP(B1092,'[3]pp3p2m '!$EE$81:$EK$82,2,)</f>
        <v>0</v>
      </c>
      <c r="H1092" s="355">
        <f t="shared" si="61"/>
        <v>0</v>
      </c>
      <c r="I1092" s="355">
        <f>H1092+J1092-K1092</f>
        <v>0</v>
      </c>
      <c r="J1092" s="355"/>
      <c r="K1092" s="355"/>
      <c r="L1092" s="367"/>
      <c r="M1092" s="332"/>
      <c r="N1092" s="340"/>
      <c r="O1092" s="341"/>
    </row>
    <row r="1093" spans="1:15" ht="16.2">
      <c r="A1093" s="288"/>
      <c r="B1093" s="417" t="s">
        <v>987</v>
      </c>
      <c r="C1093" s="388" t="str">
        <f>IF(OR(I1093&lt;&gt;0,H1093&lt;&gt;0),"x"," ")</f>
        <v xml:space="preserve"> </v>
      </c>
      <c r="D1093" s="338"/>
      <c r="E1093" s="358" t="str">
        <f>VLOOKUP($B1093,DG!A:D,DG!$C$2,)</f>
        <v>Khóa đỡ dây cỡ dây 120</v>
      </c>
      <c r="F1093" s="594" t="str">
        <f>VLOOKUP($B1093,DG!A:D,DG!$D$2,)</f>
        <v>cái</v>
      </c>
      <c r="G1093" s="595">
        <f>HLOOKUP(B1093,'[3]pp3p2m '!$EE$81:$EK$82,2,)</f>
        <v>0</v>
      </c>
      <c r="H1093" s="355">
        <f t="shared" si="61"/>
        <v>0</v>
      </c>
      <c r="I1093" s="355">
        <f>H1093+J1093-K1093</f>
        <v>0</v>
      </c>
      <c r="J1093" s="355"/>
      <c r="K1093" s="355"/>
      <c r="L1093" s="367"/>
      <c r="M1093" s="332"/>
      <c r="N1093" s="340"/>
      <c r="O1093" s="341"/>
    </row>
    <row r="1094" spans="1:15" ht="16.2">
      <c r="A1094" s="288"/>
      <c r="B1094" s="417" t="s">
        <v>988</v>
      </c>
      <c r="C1094" s="388" t="str">
        <f>IF(OR(I1094&lt;&gt;0,H1094&lt;&gt;0),"x"," ")</f>
        <v xml:space="preserve"> </v>
      </c>
      <c r="D1094" s="338"/>
      <c r="E1094" s="358" t="str">
        <f>VLOOKUP($B1094,DG!A:D,DG!$C$2,)</f>
        <v>Khóa đỡ dây cỡ dây 95</v>
      </c>
      <c r="F1094" s="594" t="str">
        <f>VLOOKUP($B1094,DG!A:D,DG!$D$2,)</f>
        <v>cái</v>
      </c>
      <c r="G1094" s="595">
        <f>HLOOKUP(B1094,'[3]pp3p2m '!$EE$81:$EK$82,2,)</f>
        <v>0</v>
      </c>
      <c r="H1094" s="355">
        <f t="shared" si="61"/>
        <v>0</v>
      </c>
      <c r="I1094" s="355">
        <f>H1094+J1094-K1094</f>
        <v>0</v>
      </c>
      <c r="J1094" s="355"/>
      <c r="K1094" s="355"/>
      <c r="L1094" s="367"/>
      <c r="M1094" s="332"/>
      <c r="N1094" s="340"/>
      <c r="O1094" s="341"/>
    </row>
    <row r="1095" spans="1:15" ht="16.2">
      <c r="A1095" s="288"/>
      <c r="B1095" s="417" t="s">
        <v>989</v>
      </c>
      <c r="C1095" s="388" t="str">
        <f>IF(OR(I1095&lt;&gt;0,H1095&lt;&gt;0),"x"," ")</f>
        <v xml:space="preserve"> </v>
      </c>
      <c r="D1095" s="338"/>
      <c r="E1095" s="358" t="str">
        <f>VLOOKUP($B1095,DG!A:D,DG!$C$2,)</f>
        <v>Khóa đỡ dây cỡ dây 70</v>
      </c>
      <c r="F1095" s="594" t="str">
        <f>VLOOKUP($B1095,DG!A:D,DG!$D$2,)</f>
        <v>cái</v>
      </c>
      <c r="G1095" s="595">
        <f>HLOOKUP(B1095,'[3]pp3p2m '!$EE$81:$EK$82,2,)</f>
        <v>0</v>
      </c>
      <c r="H1095" s="355">
        <f t="shared" si="61"/>
        <v>0</v>
      </c>
      <c r="I1095" s="355">
        <f>H1095+J1095-K1095</f>
        <v>0</v>
      </c>
      <c r="J1095" s="355"/>
      <c r="K1095" s="355"/>
      <c r="L1095" s="367"/>
      <c r="M1095" s="332"/>
      <c r="N1095" s="340"/>
      <c r="O1095" s="341"/>
    </row>
    <row r="1096" spans="1:15" ht="16.2">
      <c r="A1096" s="288"/>
      <c r="B1096" s="417" t="s">
        <v>990</v>
      </c>
      <c r="C1096" s="388" t="str">
        <f>IF(OR(I1096&lt;&gt;0,H1096&lt;&gt;0),"x"," ")</f>
        <v xml:space="preserve"> </v>
      </c>
      <c r="D1096" s="338"/>
      <c r="E1096" s="358" t="str">
        <f>VLOOKUP($B1096,DG!A:D,DG!$C$2,)</f>
        <v>Khóa đỡ dây cỡ dây 50</v>
      </c>
      <c r="F1096" s="594" t="str">
        <f>VLOOKUP($B1096,DG!A:D,DG!$D$2,)</f>
        <v>cái</v>
      </c>
      <c r="G1096" s="595">
        <f>HLOOKUP(B1096,'[3]pp3p2m '!$EE$81:$EK$82,2,)</f>
        <v>0</v>
      </c>
      <c r="H1096" s="355">
        <f t="shared" si="61"/>
        <v>0</v>
      </c>
      <c r="I1096" s="355">
        <f>H1096+J1096-K1096</f>
        <v>0</v>
      </c>
      <c r="J1096" s="355"/>
      <c r="K1096" s="355"/>
      <c r="L1096" s="367"/>
      <c r="M1096" s="332"/>
      <c r="N1096" s="340"/>
      <c r="O1096" s="341"/>
    </row>
    <row r="1097" spans="1:15" ht="16.2">
      <c r="A1097" s="288"/>
      <c r="B1097" s="417" t="s">
        <v>991</v>
      </c>
      <c r="C1097" s="388" t="str">
        <f>IF(OR(I1097&lt;&gt;0,H1097&lt;&gt;0),"x"," ")</f>
        <v xml:space="preserve"> </v>
      </c>
      <c r="D1097" s="338"/>
      <c r="E1097" s="358" t="str">
        <f>VLOOKUP($B1097,DG!A:D,DG!$C$2,)</f>
        <v>Khóa néo dây cỡ dây 240</v>
      </c>
      <c r="F1097" s="594" t="str">
        <f>VLOOKUP($B1097,DG!A:D,DG!$D$2,)</f>
        <v>cái</v>
      </c>
      <c r="G1097" s="595">
        <f>'[3]pp3p2m '!CT82</f>
        <v>0</v>
      </c>
      <c r="H1097" s="355">
        <f t="shared" si="61"/>
        <v>0</v>
      </c>
      <c r="I1097" s="355">
        <f>H1097+J1097-K1097</f>
        <v>0</v>
      </c>
      <c r="J1097" s="355"/>
      <c r="K1097" s="355"/>
      <c r="L1097" s="367"/>
      <c r="M1097" s="332"/>
      <c r="N1097" s="340"/>
      <c r="O1097" s="341"/>
    </row>
    <row r="1098" spans="1:15" ht="16.2">
      <c r="A1098" s="288"/>
      <c r="B1098" s="417" t="s">
        <v>992</v>
      </c>
      <c r="C1098" s="388" t="str">
        <f>IF(OR(I1098&lt;&gt;0,H1098&lt;&gt;0),"x"," ")</f>
        <v xml:space="preserve"> </v>
      </c>
      <c r="D1098" s="338"/>
      <c r="E1098" s="358" t="str">
        <f>VLOOKUP($B1098,DG!A:D,DG!$C$2,)</f>
        <v>Khóa néo dây cỡ dây 185</v>
      </c>
      <c r="F1098" s="594" t="str">
        <f>VLOOKUP($B1098,DG!A:D,DG!$D$2,)</f>
        <v>cái</v>
      </c>
      <c r="G1098" s="595">
        <f>+G1072+G1081-G1090</f>
        <v>0</v>
      </c>
      <c r="H1098" s="355">
        <f t="shared" si="61"/>
        <v>0</v>
      </c>
      <c r="I1098" s="355">
        <f>H1098+J1098-K1098</f>
        <v>0</v>
      </c>
      <c r="J1098" s="355"/>
      <c r="K1098" s="355"/>
      <c r="L1098" s="367"/>
      <c r="M1098" s="332"/>
      <c r="N1098" s="340"/>
      <c r="O1098" s="341"/>
    </row>
    <row r="1099" spans="1:15" ht="16.2">
      <c r="A1099" s="288"/>
      <c r="B1099" s="417" t="s">
        <v>993</v>
      </c>
      <c r="C1099" s="388" t="str">
        <f>IF(OR(I1099&lt;&gt;0,H1099&lt;&gt;0),"x"," ")</f>
        <v xml:space="preserve"> </v>
      </c>
      <c r="D1099" s="338"/>
      <c r="E1099" s="358" t="str">
        <f>VLOOKUP($B1099,DG!A:D,DG!$C$2,)</f>
        <v>Khóa néo dây cỡ dây 150</v>
      </c>
      <c r="F1099" s="594" t="str">
        <f>VLOOKUP($B1099,DG!A:D,DG!$D$2,)</f>
        <v>cái</v>
      </c>
      <c r="G1099" s="595">
        <f>'[3]pp3p2m '!CS82</f>
        <v>0</v>
      </c>
      <c r="H1099" s="355">
        <f t="shared" si="61"/>
        <v>0</v>
      </c>
      <c r="I1099" s="355">
        <f>H1099+J1099-K1099</f>
        <v>0</v>
      </c>
      <c r="J1099" s="355"/>
      <c r="K1099" s="355"/>
      <c r="L1099" s="367"/>
      <c r="M1099" s="332"/>
      <c r="N1099" s="340"/>
      <c r="O1099" s="341"/>
    </row>
    <row r="1100" spans="1:15" ht="16.2">
      <c r="A1100" s="288"/>
      <c r="B1100" s="417" t="s">
        <v>994</v>
      </c>
      <c r="C1100" s="388" t="str">
        <f>IF(OR(I1100&lt;&gt;0,H1100&lt;&gt;0),"x"," ")</f>
        <v xml:space="preserve"> </v>
      </c>
      <c r="D1100" s="338"/>
      <c r="E1100" s="358" t="str">
        <f>VLOOKUP($B1100,DG!A:D,DG!$C$2,)</f>
        <v>Khóa néo dây cỡ dây 120</v>
      </c>
      <c r="F1100" s="594" t="str">
        <f>VLOOKUP($B1100,DG!A:D,DG!$D$2,)</f>
        <v>cái</v>
      </c>
      <c r="G1100" s="595"/>
      <c r="H1100" s="355">
        <f t="shared" si="61"/>
        <v>0</v>
      </c>
      <c r="I1100" s="355">
        <f>H1100+J1100-K1100</f>
        <v>0</v>
      </c>
      <c r="J1100" s="355"/>
      <c r="K1100" s="355"/>
      <c r="L1100" s="367"/>
      <c r="M1100" s="332"/>
      <c r="N1100" s="340"/>
      <c r="O1100" s="341"/>
    </row>
    <row r="1101" spans="1:15" ht="16.2">
      <c r="A1101" s="288"/>
      <c r="B1101" s="417" t="s">
        <v>995</v>
      </c>
      <c r="C1101" s="388" t="str">
        <f>IF(OR(I1101&lt;&gt;0,H1101&lt;&gt;0),"x"," ")</f>
        <v xml:space="preserve"> </v>
      </c>
      <c r="D1101" s="338"/>
      <c r="E1101" s="358" t="str">
        <f>VLOOKUP($B1101,DG!A:D,DG!$C$2,)</f>
        <v>Khóa néo dây cỡ dây 95</v>
      </c>
      <c r="F1101" s="594" t="str">
        <f>VLOOKUP($B1101,DG!A:D,DG!$D$2,)</f>
        <v>cái</v>
      </c>
      <c r="G1101" s="595"/>
      <c r="H1101" s="355">
        <f t="shared" si="61"/>
        <v>0</v>
      </c>
      <c r="I1101" s="355">
        <f>H1101+J1101-K1101</f>
        <v>0</v>
      </c>
      <c r="J1101" s="355"/>
      <c r="K1101" s="355"/>
      <c r="L1101" s="367"/>
      <c r="M1101" s="332"/>
      <c r="N1101" s="340"/>
      <c r="O1101" s="341"/>
    </row>
    <row r="1102" spans="1:15" ht="16.2">
      <c r="A1102" s="288"/>
      <c r="B1102" s="417" t="s">
        <v>996</v>
      </c>
      <c r="C1102" s="388" t="str">
        <f>IF(OR(I1102&lt;&gt;0,H1102&lt;&gt;0),"x"," ")</f>
        <v xml:space="preserve"> </v>
      </c>
      <c r="D1102" s="338"/>
      <c r="E1102" s="358" t="str">
        <f>VLOOKUP($B1102,DG!A:D,DG!$C$2,)</f>
        <v>Khóa néo dây cỡ dây 70</v>
      </c>
      <c r="F1102" s="594" t="str">
        <f>VLOOKUP($B1102,DG!A:D,DG!$D$2,)</f>
        <v>cái</v>
      </c>
      <c r="G1102" s="595"/>
      <c r="H1102" s="355">
        <f t="shared" si="61"/>
        <v>0</v>
      </c>
      <c r="I1102" s="355">
        <f>H1102+J1102-K1102</f>
        <v>0</v>
      </c>
      <c r="J1102" s="355"/>
      <c r="K1102" s="355"/>
      <c r="L1102" s="367"/>
      <c r="M1102" s="332"/>
      <c r="N1102" s="340"/>
      <c r="O1102" s="341"/>
    </row>
    <row r="1103" spans="1:15" ht="16.2">
      <c r="A1103" s="288"/>
      <c r="B1103" s="417" t="s">
        <v>997</v>
      </c>
      <c r="C1103" s="388" t="str">
        <f>IF(OR(I1103&lt;&gt;0,H1103&lt;&gt;0),"x"," ")</f>
        <v xml:space="preserve"> </v>
      </c>
      <c r="D1103" s="338"/>
      <c r="E1103" s="358" t="str">
        <f>VLOOKUP($B1103,DG!A:D,DG!$C$2,)</f>
        <v>Khóa néo dây cỡ dây 50</v>
      </c>
      <c r="F1103" s="594" t="str">
        <f>VLOOKUP($B1103,DG!A:D,DG!$D$2,)</f>
        <v>cái</v>
      </c>
      <c r="G1103" s="595"/>
      <c r="H1103" s="355">
        <f t="shared" si="61"/>
        <v>0</v>
      </c>
      <c r="I1103" s="355">
        <f>H1103+J1103-K1103</f>
        <v>0</v>
      </c>
      <c r="J1103" s="355"/>
      <c r="K1103" s="355"/>
      <c r="L1103" s="367"/>
      <c r="M1103" s="332"/>
      <c r="N1103" s="340"/>
      <c r="O1103" s="341"/>
    </row>
    <row r="1104" spans="1:15" ht="16.2">
      <c r="A1104" s="288"/>
      <c r="B1104" s="417" t="s">
        <v>998</v>
      </c>
      <c r="C1104" s="388" t="str">
        <f>IF(OR(I1104&lt;&gt;0,H1104&lt;&gt;0),"x"," ")</f>
        <v xml:space="preserve"> </v>
      </c>
      <c r="D1104" s="338"/>
      <c r="E1104" s="358" t="str">
        <f>VLOOKUP($B1104,DG!A:D,DG!$C$2,)</f>
        <v>Kẹp 2 rãnh (APC) cỡ dây 50mm2</v>
      </c>
      <c r="F1104" s="594" t="str">
        <f>VLOOKUP($B1104,DG!A:D,DG!$D$2,)</f>
        <v>cái</v>
      </c>
      <c r="G1104" s="595">
        <f>'[3]pp3p2m '!CY82</f>
        <v>0</v>
      </c>
      <c r="H1104" s="355">
        <f t="shared" si="61"/>
        <v>0</v>
      </c>
      <c r="I1104" s="355">
        <f>H1104+J1104-K1104</f>
        <v>0</v>
      </c>
      <c r="J1104" s="355"/>
      <c r="K1104" s="355"/>
      <c r="L1104" s="367"/>
      <c r="M1104" s="332"/>
      <c r="N1104" s="340"/>
      <c r="O1104" s="341"/>
    </row>
    <row r="1105" spans="1:15" ht="16.2">
      <c r="A1105" s="288"/>
      <c r="B1105" s="417" t="s">
        <v>999</v>
      </c>
      <c r="C1105" s="388" t="str">
        <f>IF(OR(I1105&lt;&gt;0,H1105&lt;&gt;0),"x"," ")</f>
        <v xml:space="preserve"> </v>
      </c>
      <c r="D1105" s="338"/>
      <c r="E1105" s="358" t="str">
        <f>VLOOKUP($B1105,DG!A:D,DG!$C$2,)</f>
        <v>Kẹp 2 rãnh (APC) cỡ dây 70mm2</v>
      </c>
      <c r="F1105" s="594" t="str">
        <f>VLOOKUP($B1105,DG!A:D,DG!$D$2,)</f>
        <v>cái</v>
      </c>
      <c r="G1105" s="595">
        <f>'[3]pp3p2m '!CZ82</f>
        <v>0</v>
      </c>
      <c r="H1105" s="355">
        <f t="shared" si="61"/>
        <v>0</v>
      </c>
      <c r="I1105" s="355">
        <f>H1105+J1105-K1105</f>
        <v>0</v>
      </c>
      <c r="J1105" s="355"/>
      <c r="K1105" s="355"/>
      <c r="L1105" s="367"/>
      <c r="M1105" s="332"/>
      <c r="N1105" s="340"/>
      <c r="O1105" s="341"/>
    </row>
    <row r="1106" spans="1:15" ht="16.2">
      <c r="A1106" s="288"/>
      <c r="B1106" s="417" t="s">
        <v>1000</v>
      </c>
      <c r="C1106" s="388" t="str">
        <f>IF(OR(I1106&lt;&gt;0,H1106&lt;&gt;0),"x"," ")</f>
        <v xml:space="preserve"> </v>
      </c>
      <c r="D1106" s="338"/>
      <c r="E1106" s="358" t="str">
        <f>VLOOKUP($B1106,DG!A:D,DG!$C$2,)</f>
        <v>Kẹp 2 rãnh (APC) cỡ dây 95mm2</v>
      </c>
      <c r="F1106" s="594" t="str">
        <f>VLOOKUP($B1106,DG!A:D,DG!$D$2,)</f>
        <v>cái</v>
      </c>
      <c r="G1106" s="595">
        <f>'[3]pp3p2m '!DA82</f>
        <v>0</v>
      </c>
      <c r="H1106" s="355">
        <f t="shared" si="61"/>
        <v>0</v>
      </c>
      <c r="I1106" s="355">
        <f>H1106+J1106-K1106</f>
        <v>0</v>
      </c>
      <c r="J1106" s="355"/>
      <c r="K1106" s="355"/>
      <c r="L1106" s="367"/>
      <c r="M1106" s="332"/>
      <c r="N1106" s="340"/>
      <c r="O1106" s="341"/>
    </row>
    <row r="1107" spans="1:15" ht="16.2">
      <c r="A1107" s="288"/>
      <c r="B1107" s="417" t="s">
        <v>1072</v>
      </c>
      <c r="C1107" s="388" t="str">
        <f>IF(OR(I1107&lt;&gt;0,H1107&lt;&gt;0),"x"," ")</f>
        <v xml:space="preserve"> </v>
      </c>
      <c r="D1107" s="338"/>
      <c r="E1107" s="358" t="str">
        <f>VLOOKUP($B1107,DG!A:D,DG!$C$2,)</f>
        <v>Kẹp ép WR cỡ dây 120mm2</v>
      </c>
      <c r="F1107" s="594" t="str">
        <f>VLOOKUP($B1107,DG!A:D,DG!$D$2,)</f>
        <v>cái</v>
      </c>
      <c r="G1107" s="595"/>
      <c r="H1107" s="355">
        <f t="shared" si="61"/>
        <v>0</v>
      </c>
      <c r="I1107" s="355">
        <f>H1107+J1107-K1107</f>
        <v>0</v>
      </c>
      <c r="J1107" s="355"/>
      <c r="K1107" s="355"/>
      <c r="L1107" s="367"/>
      <c r="M1107" s="332"/>
      <c r="N1107" s="340"/>
      <c r="O1107" s="341"/>
    </row>
    <row r="1108" spans="1:15" ht="16.2">
      <c r="A1108" s="288"/>
      <c r="B1108" s="417" t="s">
        <v>1004</v>
      </c>
      <c r="C1108" s="388" t="str">
        <f>IF(OR(I1108&lt;&gt;0,H1108&lt;&gt;0),"x"," ")</f>
        <v xml:space="preserve"> </v>
      </c>
      <c r="D1108" s="338"/>
      <c r="E1108" s="358" t="str">
        <f>VLOOKUP($B1108,DG!A:D,DG!$C$2,)</f>
        <v>Kẹp ép WR cỡ dây 150mm2</v>
      </c>
      <c r="F1108" s="594" t="str">
        <f>VLOOKUP($B1108,DG!A:D,DG!$D$2,)</f>
        <v>cái</v>
      </c>
      <c r="G1108" s="595">
        <f>'[3]pp3p2m '!DB82</f>
        <v>0</v>
      </c>
      <c r="H1108" s="355">
        <f t="shared" si="61"/>
        <v>0</v>
      </c>
      <c r="I1108" s="355">
        <f>H1108+J1108-K1108</f>
        <v>0</v>
      </c>
      <c r="J1108" s="355"/>
      <c r="K1108" s="355"/>
      <c r="L1108" s="367"/>
      <c r="M1108" s="332"/>
      <c r="N1108" s="340"/>
      <c r="O1108" s="341"/>
    </row>
    <row r="1109" spans="1:15" ht="16.2">
      <c r="A1109" s="288"/>
      <c r="B1109" s="417" t="s">
        <v>1073</v>
      </c>
      <c r="C1109" s="388" t="str">
        <f>IF(OR(I1109&lt;&gt;0,H1109&lt;&gt;0),"x"," ")</f>
        <v xml:space="preserve"> </v>
      </c>
      <c r="D1109" s="338"/>
      <c r="E1109" s="358" t="str">
        <f>VLOOKUP($B1109,DG!A:D,DG!$C$2,)</f>
        <v>Kẹp ép WR cỡ dây 240mm2</v>
      </c>
      <c r="F1109" s="594" t="str">
        <f>VLOOKUP($B1109,DG!A:D,DG!$D$2,)</f>
        <v>cái</v>
      </c>
      <c r="G1109" s="595">
        <f>'[3]pp3p2m '!DD82</f>
        <v>0</v>
      </c>
      <c r="H1109" s="355">
        <f t="shared" si="61"/>
        <v>0</v>
      </c>
      <c r="I1109" s="355">
        <f>H1109+J1109-K1109</f>
        <v>0</v>
      </c>
      <c r="J1109" s="355"/>
      <c r="K1109" s="355"/>
      <c r="L1109" s="367"/>
      <c r="M1109" s="332"/>
      <c r="N1109" s="340"/>
      <c r="O1109" s="341"/>
    </row>
    <row r="1110" spans="1:15" ht="16.2">
      <c r="A1110" s="288"/>
      <c r="B1110" s="417" t="s">
        <v>1074</v>
      </c>
      <c r="C1110" s="388" t="str">
        <f>IF(OR(I1110&lt;&gt;0,H1110&lt;&gt;0),"x"," ")</f>
        <v xml:space="preserve"> </v>
      </c>
      <c r="D1110" s="338"/>
      <c r="E1110" s="358" t="str">
        <f>VLOOKUP($B1110,DG!A:D,DG!$C$2,)</f>
        <v>Kẹp 2 rãnh (APC) cỡ dây 240 mm2</v>
      </c>
      <c r="F1110" s="594" t="str">
        <f>VLOOKUP($B1110,DG!A:D,DG!$D$2,)</f>
        <v>cái</v>
      </c>
      <c r="G1110" s="595">
        <f>'[3]pp3p2m '!DE82</f>
        <v>0</v>
      </c>
      <c r="H1110" s="355">
        <f t="shared" si="61"/>
        <v>0</v>
      </c>
      <c r="I1110" s="355">
        <f>H1110+J1110-K1110</f>
        <v>0</v>
      </c>
      <c r="J1110" s="355"/>
      <c r="K1110" s="355"/>
      <c r="L1110" s="367"/>
      <c r="M1110" s="332"/>
      <c r="N1110" s="340"/>
      <c r="O1110" s="341"/>
    </row>
    <row r="1111" spans="1:15" ht="16.2">
      <c r="A1111" s="288"/>
      <c r="B1111" s="417" t="s">
        <v>1007</v>
      </c>
      <c r="C1111" s="388" t="str">
        <f>IF(OR(I1111&lt;&gt;0,H1111&lt;&gt;0),"x"," ")</f>
        <v xml:space="preserve"> </v>
      </c>
      <c r="D1111" s="338" t="str">
        <f>VLOOKUP($B1111,DG!A:D,DG!$B$2,)</f>
        <v>03.4003</v>
      </c>
      <c r="E1111" s="358" t="str">
        <f>VLOOKUP($B1111,DG!A:D,DG!$C$2,)</f>
        <v>Đầu cosse ép Cu-Al 70mm2</v>
      </c>
      <c r="F1111" s="594" t="str">
        <f>VLOOKUP($B1111,DG!A:D,DG!$D$2,)</f>
        <v>cái</v>
      </c>
      <c r="G1111" s="595"/>
      <c r="H1111" s="355">
        <f>$G1111*0</f>
        <v>0</v>
      </c>
      <c r="I1111" s="355">
        <f>H1111+J1111-K1111</f>
        <v>0</v>
      </c>
      <c r="J1111" s="355"/>
      <c r="K1111" s="355"/>
      <c r="L1111" s="367"/>
      <c r="M1111" s="332"/>
      <c r="N1111" s="340"/>
      <c r="O1111" s="341"/>
    </row>
    <row r="1112" spans="1:15" ht="16.2">
      <c r="A1112" s="288"/>
      <c r="B1112" s="417" t="s">
        <v>1008</v>
      </c>
      <c r="C1112" s="388" t="str">
        <f>IF(OR(I1112&lt;&gt;0,H1112&lt;&gt;0),"x"," ")</f>
        <v xml:space="preserve"> </v>
      </c>
      <c r="D1112" s="338" t="str">
        <f>VLOOKUP($B1112,DG!A:D,DG!$B$2,)</f>
        <v>03.4004</v>
      </c>
      <c r="E1112" s="358" t="str">
        <f>VLOOKUP($B1112,DG!A:D,DG!$C$2,)</f>
        <v>Đầu cosse ép Cu-Al 95mm2</v>
      </c>
      <c r="F1112" s="594" t="str">
        <f>VLOOKUP($B1112,DG!A:D,DG!$D$2,)</f>
        <v>cái</v>
      </c>
      <c r="G1112" s="595">
        <f>'[3]pp3p2m '!DF82</f>
        <v>0</v>
      </c>
      <c r="H1112" s="355">
        <f t="shared" si="61"/>
        <v>0</v>
      </c>
      <c r="I1112" s="355">
        <f>H1112+J1112-K1112</f>
        <v>0</v>
      </c>
      <c r="J1112" s="355"/>
      <c r="K1112" s="355"/>
      <c r="L1112" s="367"/>
      <c r="M1112" s="332"/>
      <c r="N1112" s="340"/>
      <c r="O1112" s="341"/>
    </row>
    <row r="1113" spans="1:15" ht="16.2">
      <c r="A1113" s="288"/>
      <c r="B1113" s="417" t="s">
        <v>1009</v>
      </c>
      <c r="C1113" s="388" t="str">
        <f>IF(OR(I1113&lt;&gt;0,H1113&lt;&gt;0),"x"," ")</f>
        <v xml:space="preserve"> </v>
      </c>
      <c r="D1113" s="338" t="str">
        <f>VLOOKUP($B1113,DG!A:D,DG!$B$2,)</f>
        <v>03.4005</v>
      </c>
      <c r="E1113" s="358" t="str">
        <f>VLOOKUP($B1113,DG!A:D,DG!$C$2,)</f>
        <v>Đầu cosse ép Cu-Al 120mm2</v>
      </c>
      <c r="F1113" s="594" t="str">
        <f>VLOOKUP($B1113,DG!A:D,DG!$D$2,)</f>
        <v>cái</v>
      </c>
      <c r="G1113" s="595">
        <f>'[3]pp3p2m '!DI82</f>
        <v>0</v>
      </c>
      <c r="H1113" s="355">
        <f t="shared" si="61"/>
        <v>0</v>
      </c>
      <c r="I1113" s="355">
        <f>H1113+J1113-K1113</f>
        <v>0</v>
      </c>
      <c r="J1113" s="355"/>
      <c r="K1113" s="355"/>
      <c r="L1113" s="367"/>
      <c r="M1113" s="332"/>
      <c r="N1113" s="340"/>
      <c r="O1113" s="341"/>
    </row>
    <row r="1114" spans="1:15" ht="16.2">
      <c r="A1114" s="288"/>
      <c r="B1114" s="417" t="s">
        <v>1010</v>
      </c>
      <c r="C1114" s="388" t="str">
        <f>IF(OR(I1114&lt;&gt;0,H1114&lt;&gt;0),"x"," ")</f>
        <v xml:space="preserve"> </v>
      </c>
      <c r="D1114" s="338" t="str">
        <f>VLOOKUP($B1114,DG!A:D,DG!$B$2,)</f>
        <v>03.4006</v>
      </c>
      <c r="E1114" s="358" t="str">
        <f>VLOOKUP($B1114,DG!A:D,DG!$C$2,)</f>
        <v>Đầu cosse ép Cu-Al 150mm2</v>
      </c>
      <c r="F1114" s="594" t="str">
        <f>VLOOKUP($B1114,DG!A:D,DG!$D$2,)</f>
        <v>cái</v>
      </c>
      <c r="G1114" s="595">
        <f>'[3]pp3p2m '!DJ82</f>
        <v>0</v>
      </c>
      <c r="H1114" s="355">
        <f t="shared" si="61"/>
        <v>0</v>
      </c>
      <c r="I1114" s="355">
        <f>H1114+J1114-K1114</f>
        <v>0</v>
      </c>
      <c r="J1114" s="355"/>
      <c r="K1114" s="355"/>
      <c r="L1114" s="367"/>
      <c r="M1114" s="332"/>
      <c r="N1114" s="340"/>
      <c r="O1114" s="341"/>
    </row>
    <row r="1115" spans="1:15" ht="16.2">
      <c r="A1115" s="288"/>
      <c r="B1115" s="417" t="s">
        <v>1011</v>
      </c>
      <c r="C1115" s="388" t="str">
        <f>IF(OR(I1115&lt;&gt;0,H1115&lt;&gt;0),"x"," ")</f>
        <v xml:space="preserve"> </v>
      </c>
      <c r="D1115" s="338" t="str">
        <f>VLOOKUP($B1115,DG!A:D,DG!$B$2,)</f>
        <v>03.4007</v>
      </c>
      <c r="E1115" s="358" t="str">
        <f>VLOOKUP($B1115,DG!A:D,DG!$C$2,)</f>
        <v>Đầu cosse ép Cu-Al 185mm2</v>
      </c>
      <c r="F1115" s="594" t="str">
        <f>VLOOKUP($B1115,DG!A:D,DG!$D$2,)</f>
        <v>cái</v>
      </c>
      <c r="G1115" s="595"/>
      <c r="H1115" s="355">
        <f t="shared" si="61"/>
        <v>0</v>
      </c>
      <c r="I1115" s="355">
        <f>H1115+J1115-K1115</f>
        <v>0</v>
      </c>
      <c r="J1115" s="355"/>
      <c r="K1115" s="355"/>
      <c r="L1115" s="367"/>
      <c r="M1115" s="332"/>
      <c r="N1115" s="340"/>
      <c r="O1115" s="341"/>
    </row>
    <row r="1116" spans="1:15" ht="16.2">
      <c r="A1116" s="288"/>
      <c r="B1116" s="417" t="s">
        <v>1012</v>
      </c>
      <c r="C1116" s="388" t="str">
        <f>IF(OR(I1116&lt;&gt;0,H1116&lt;&gt;0),"x"," ")</f>
        <v xml:space="preserve"> </v>
      </c>
      <c r="D1116" s="338" t="str">
        <f>VLOOKUP($B1116,DG!A:D,DG!$B$2,)</f>
        <v>03.4008</v>
      </c>
      <c r="E1116" s="358" t="str">
        <f>VLOOKUP($B1116,DG!A:D,DG!$C$2,)</f>
        <v>Đầu cosse ép Cu-Al 240mm2</v>
      </c>
      <c r="F1116" s="594" t="str">
        <f>VLOOKUP($B1116,DG!A:D,DG!$D$2,)</f>
        <v>cái</v>
      </c>
      <c r="G1116" s="595">
        <f>'[3]pp3p2m '!DK82</f>
        <v>0</v>
      </c>
      <c r="H1116" s="355">
        <f t="shared" si="61"/>
        <v>0</v>
      </c>
      <c r="I1116" s="355">
        <f>H1116+J1116-K1116</f>
        <v>0</v>
      </c>
      <c r="J1116" s="355"/>
      <c r="K1116" s="355"/>
      <c r="L1116" s="367"/>
      <c r="M1116" s="332"/>
      <c r="N1116" s="340"/>
      <c r="O1116" s="341"/>
    </row>
    <row r="1117" spans="1:15" ht="16.2">
      <c r="A1117" s="288"/>
      <c r="B1117" s="417" t="s">
        <v>1013</v>
      </c>
      <c r="C1117" s="388" t="str">
        <f>IF(OR(I1117&lt;&gt;0,H1117&lt;&gt;0),"x"," ")</f>
        <v xml:space="preserve"> </v>
      </c>
      <c r="D1117" s="338">
        <f>VLOOKUP($B1117,DG!A:D,DG!$B$2,)</f>
        <v>0</v>
      </c>
      <c r="E1117" s="358" t="str">
        <f>VLOOKUP($B1117,DG!A:D,DG!$C$2,)</f>
        <v>Boulon 12x30</v>
      </c>
      <c r="F1117" s="594" t="str">
        <f>VLOOKUP($B1117,DG!A:D,DG!$D$2,)</f>
        <v>bộ</v>
      </c>
      <c r="G1117" s="595">
        <f>SUM(G1111:G1116)/2</f>
        <v>0</v>
      </c>
      <c r="H1117" s="355">
        <f t="shared" si="61"/>
        <v>0</v>
      </c>
      <c r="I1117" s="355">
        <f>H1117+J1117-K1117</f>
        <v>0</v>
      </c>
      <c r="J1117" s="355"/>
      <c r="K1117" s="355"/>
      <c r="L1117" s="367"/>
      <c r="M1117" s="332"/>
      <c r="N1117" s="340"/>
      <c r="O1117" s="341"/>
    </row>
    <row r="1118" spans="1:15" ht="16.2">
      <c r="A1118" s="288"/>
      <c r="B1118" s="417" t="s">
        <v>1001</v>
      </c>
      <c r="C1118" s="388" t="str">
        <f>IF(OR(I1118&lt;&gt;0,H1118&lt;&gt;0),"x"," ")</f>
        <v xml:space="preserve"> </v>
      </c>
      <c r="D1118" s="338" t="str">
        <f>VLOOKUP($B1118,DG!A:D,DG!$B$2,)</f>
        <v>04.3007</v>
      </c>
      <c r="E1118" s="358" t="str">
        <f>VLOOKUP($B1118,DG!A:D,DG!$C$2,)</f>
        <v>Kẹp quai 2/0</v>
      </c>
      <c r="F1118" s="594" t="str">
        <f>VLOOKUP($B1118,DG!A:D,DG!$D$2,)</f>
        <v>cái</v>
      </c>
      <c r="G1118" s="595">
        <f>'[3]pp3p2m '!DM82*2</f>
        <v>0</v>
      </c>
      <c r="H1118" s="355">
        <f t="shared" si="61"/>
        <v>0</v>
      </c>
      <c r="I1118" s="355">
        <f>H1118+J1118-K1118</f>
        <v>0</v>
      </c>
      <c r="J1118" s="355"/>
      <c r="K1118" s="355"/>
      <c r="L1118" s="367"/>
      <c r="M1118" s="332"/>
      <c r="N1118" s="340"/>
      <c r="O1118" s="341"/>
    </row>
    <row r="1119" spans="1:15" ht="16.2">
      <c r="A1119" s="288"/>
      <c r="B1119" s="417" t="s">
        <v>1014</v>
      </c>
      <c r="C1119" s="388" t="str">
        <f>IF(OR(I1119&lt;&gt;0,H1119&lt;&gt;0),"x"," ")</f>
        <v xml:space="preserve"> </v>
      </c>
      <c r="D1119" s="338" t="str">
        <f>VLOOKUP($B1119,DG!A:D,DG!$B$2,)</f>
        <v>04.3007</v>
      </c>
      <c r="E1119" s="358" t="str">
        <f>VLOOKUP($B1119,DG!A:D,DG!$C$2,)</f>
        <v>Kẹp quai 4/0</v>
      </c>
      <c r="F1119" s="594" t="str">
        <f>VLOOKUP($B1119,DG!A:D,DG!$D$2,)</f>
        <v>cái</v>
      </c>
      <c r="G1119" s="595">
        <f>G1118</f>
        <v>0</v>
      </c>
      <c r="H1119" s="355">
        <f t="shared" si="61"/>
        <v>0</v>
      </c>
      <c r="I1119" s="355">
        <f>H1119+J1119-K1119</f>
        <v>0</v>
      </c>
      <c r="J1119" s="355"/>
      <c r="K1119" s="355"/>
      <c r="L1119" s="367"/>
      <c r="M1119" s="332"/>
      <c r="N1119" s="340"/>
      <c r="O1119" s="341"/>
    </row>
    <row r="1120" spans="1:15" ht="16.2">
      <c r="A1120" s="288"/>
      <c r="B1120" s="421" t="s">
        <v>1002</v>
      </c>
      <c r="C1120" s="388" t="str">
        <f>IF(OR(I1120&lt;&gt;0,H1120&lt;&gt;0),"x"," ")</f>
        <v xml:space="preserve"> </v>
      </c>
      <c r="D1120" s="338"/>
      <c r="E1120" s="425" t="str">
        <f>VLOOKUP($B1120,DG!A:D,DG!$C$2,)</f>
        <v>Kẹp hotline 2/0</v>
      </c>
      <c r="F1120" s="594" t="str">
        <f>VLOOKUP($B1120,DG!A:D,DG!$D$2,)</f>
        <v>cái</v>
      </c>
      <c r="G1120" s="595">
        <f>G1118</f>
        <v>0</v>
      </c>
      <c r="H1120" s="355">
        <f t="shared" si="61"/>
        <v>0</v>
      </c>
      <c r="I1120" s="355">
        <f>H1120+J1120-K1120</f>
        <v>0</v>
      </c>
      <c r="J1120" s="355"/>
      <c r="K1120" s="355"/>
      <c r="L1120" s="367"/>
      <c r="M1120" s="332"/>
      <c r="N1120" s="340"/>
      <c r="O1120" s="341"/>
    </row>
    <row r="1121" spans="1:15" ht="16.2">
      <c r="A1121" s="288"/>
      <c r="B1121" s="421" t="s">
        <v>1015</v>
      </c>
      <c r="C1121" s="388" t="str">
        <f>IF(OR(I1121&lt;&gt;0,H1121&lt;&gt;0),"x"," ")</f>
        <v xml:space="preserve"> </v>
      </c>
      <c r="D1121" s="338"/>
      <c r="E1121" s="358" t="str">
        <f>VLOOKUP($B1121,DG!A:D,DG!$C$2,)</f>
        <v>Kẹp hotline 4/0</v>
      </c>
      <c r="F1121" s="594" t="str">
        <f>VLOOKUP($B1121,DG!A:D,DG!$D$2,)</f>
        <v>cái</v>
      </c>
      <c r="G1121" s="595">
        <f>G1119</f>
        <v>0</v>
      </c>
      <c r="H1121" s="355">
        <f t="shared" ref="H1121:H1131" si="63">$G1121</f>
        <v>0</v>
      </c>
      <c r="I1121" s="355">
        <f>H1121+J1121-K1121</f>
        <v>0</v>
      </c>
      <c r="J1121" s="355"/>
      <c r="K1121" s="355"/>
      <c r="L1121" s="367"/>
      <c r="M1121" s="332"/>
      <c r="N1121" s="340"/>
      <c r="O1121" s="341"/>
    </row>
    <row r="1122" spans="1:15" ht="16.2">
      <c r="A1122" s="288"/>
      <c r="B1122" s="417" t="s">
        <v>1016</v>
      </c>
      <c r="C1122" s="388" t="str">
        <f>IF(OR(I1122&lt;&gt;0,H1122&lt;&gt;0),"x"," ")</f>
        <v xml:space="preserve"> </v>
      </c>
      <c r="D1122" s="338"/>
      <c r="E1122" s="358" t="str">
        <f>VLOOKUP($B1122,DG!A:D,DG!$C$2,)</f>
        <v>Ống nối dây cỡ 50mm2</v>
      </c>
      <c r="F1122" s="594" t="str">
        <f>VLOOKUP($B1122,DG!A:D,DG!$D$2,)</f>
        <v>cái</v>
      </c>
      <c r="G1122" s="595">
        <f>ROUND((D1036)*1.03/1500,0)</f>
        <v>0</v>
      </c>
      <c r="H1122" s="355">
        <f t="shared" si="63"/>
        <v>0</v>
      </c>
      <c r="I1122" s="355">
        <f>H1122+J1122-K1122</f>
        <v>0</v>
      </c>
      <c r="J1122" s="355"/>
      <c r="K1122" s="355"/>
      <c r="L1122" s="367"/>
      <c r="M1122" s="332"/>
      <c r="N1122" s="340"/>
      <c r="O1122" s="341"/>
    </row>
    <row r="1123" spans="1:15" ht="16.2">
      <c r="A1123" s="288"/>
      <c r="B1123" s="417" t="s">
        <v>1017</v>
      </c>
      <c r="C1123" s="388" t="str">
        <f>IF(OR(I1123&lt;&gt;0,H1123&lt;&gt;0),"x"," ")</f>
        <v xml:space="preserve"> </v>
      </c>
      <c r="D1123" s="338"/>
      <c r="E1123" s="358" t="str">
        <f>VLOOKUP($B1123,DG!A:D,DG!$C$2,)</f>
        <v>Ống nối dây cỡ 70mm2</v>
      </c>
      <c r="F1123" s="594" t="str">
        <f>VLOOKUP($B1123,DG!A:D,DG!$D$2,)</f>
        <v>cái</v>
      </c>
      <c r="G1123" s="595">
        <f>ROUND((D1037+D1048)*1.03/1400,0)</f>
        <v>0</v>
      </c>
      <c r="H1123" s="355">
        <f t="shared" si="63"/>
        <v>0</v>
      </c>
      <c r="I1123" s="355">
        <f>H1123+J1123-K1123</f>
        <v>0</v>
      </c>
      <c r="J1123" s="355"/>
      <c r="K1123" s="355"/>
      <c r="L1123" s="367"/>
      <c r="M1123" s="332"/>
      <c r="N1123" s="340"/>
      <c r="O1123" s="341"/>
    </row>
    <row r="1124" spans="1:15" ht="16.2">
      <c r="A1124" s="288"/>
      <c r="B1124" s="417" t="s">
        <v>1018</v>
      </c>
      <c r="C1124" s="388" t="str">
        <f>IF(OR(I1124&lt;&gt;0,H1124&lt;&gt;0),"x"," ")</f>
        <v xml:space="preserve"> </v>
      </c>
      <c r="D1124" s="338"/>
      <c r="E1124" s="358" t="str">
        <f>VLOOKUP($B1124,DG!A:D,DG!$C$2,)</f>
        <v>Ống nối dây cỡ 95mm2</v>
      </c>
      <c r="F1124" s="594" t="str">
        <f>VLOOKUP($B1124,DG!A:D,DG!$D$2,)</f>
        <v>cái</v>
      </c>
      <c r="G1124" s="595">
        <f>ROUND((D1038+D1047)*1.03/1200,0)</f>
        <v>0</v>
      </c>
      <c r="H1124" s="355">
        <f t="shared" si="63"/>
        <v>0</v>
      </c>
      <c r="I1124" s="355">
        <f>H1124+J1124-K1124</f>
        <v>0</v>
      </c>
      <c r="J1124" s="355"/>
      <c r="K1124" s="355"/>
      <c r="L1124" s="367"/>
      <c r="M1124" s="332"/>
      <c r="N1124" s="340"/>
      <c r="O1124" s="341"/>
    </row>
    <row r="1125" spans="1:15" ht="16.2">
      <c r="A1125" s="288"/>
      <c r="B1125" s="417" t="s">
        <v>1019</v>
      </c>
      <c r="C1125" s="388" t="str">
        <f>IF(OR(I1125&lt;&gt;0,H1125&lt;&gt;0),"x"," ")</f>
        <v xml:space="preserve"> </v>
      </c>
      <c r="D1125" s="338"/>
      <c r="E1125" s="358" t="str">
        <f>VLOOKUP($B1125,DG!A:D,DG!$C$2,)</f>
        <v>Ống nối dây cỡ 120mm2</v>
      </c>
      <c r="F1125" s="594" t="str">
        <f>VLOOKUP($B1125,DG!A:D,DG!$D$2,)</f>
        <v>cái</v>
      </c>
      <c r="G1125" s="595">
        <f>ROUND((D1039+D1046)*1.03/1200,0)</f>
        <v>0</v>
      </c>
      <c r="H1125" s="355">
        <f t="shared" si="63"/>
        <v>0</v>
      </c>
      <c r="I1125" s="355">
        <f>H1125+J1125-K1125</f>
        <v>0</v>
      </c>
      <c r="J1125" s="355"/>
      <c r="K1125" s="355"/>
      <c r="L1125" s="367"/>
      <c r="M1125" s="332"/>
      <c r="N1125" s="340"/>
      <c r="O1125" s="341"/>
    </row>
    <row r="1126" spans="1:15" ht="16.2">
      <c r="A1126" s="288"/>
      <c r="B1126" s="417" t="s">
        <v>1020</v>
      </c>
      <c r="C1126" s="388" t="str">
        <f>IF(OR(I1126&lt;&gt;0,H1126&lt;&gt;0),"x"," ")</f>
        <v xml:space="preserve"> </v>
      </c>
      <c r="D1126" s="338"/>
      <c r="E1126" s="358" t="str">
        <f>VLOOKUP($B1126,DG!A:D,DG!$C$2,)</f>
        <v>Ống nối dây cỡ 150mm2</v>
      </c>
      <c r="F1126" s="594" t="str">
        <f>VLOOKUP($B1126,DG!A:D,DG!$D$2,)</f>
        <v>cái</v>
      </c>
      <c r="G1126" s="595">
        <f>ROUND((D1040+D1045)*1.03/1200,0)</f>
        <v>0</v>
      </c>
      <c r="H1126" s="355">
        <f t="shared" si="63"/>
        <v>0</v>
      </c>
      <c r="I1126" s="355">
        <f>H1126+J1126-K1126</f>
        <v>0</v>
      </c>
      <c r="J1126" s="355"/>
      <c r="K1126" s="355"/>
      <c r="L1126" s="367"/>
      <c r="M1126" s="332"/>
      <c r="N1126" s="340"/>
      <c r="O1126" s="341"/>
    </row>
    <row r="1127" spans="1:15" ht="16.2">
      <c r="A1127" s="288"/>
      <c r="B1127" s="417" t="s">
        <v>1021</v>
      </c>
      <c r="C1127" s="388" t="str">
        <f>IF(OR(I1127&lt;&gt;0,H1127&lt;&gt;0),"x"," ")</f>
        <v xml:space="preserve"> </v>
      </c>
      <c r="D1127" s="338"/>
      <c r="E1127" s="358" t="str">
        <f>VLOOKUP($B1127,DG!A:D,DG!$C$2,)</f>
        <v>Ống nối dây cỡ 185mm2</v>
      </c>
      <c r="F1127" s="594" t="str">
        <f>VLOOKUP($B1127,DG!A:D,DG!$D$2,)</f>
        <v>cái</v>
      </c>
      <c r="G1127" s="595">
        <f>ROUND((D1041+D1044)*1.03/1200,0)</f>
        <v>0</v>
      </c>
      <c r="H1127" s="355">
        <f t="shared" si="63"/>
        <v>0</v>
      </c>
      <c r="I1127" s="355">
        <f>H1127+J1127-K1127</f>
        <v>0</v>
      </c>
      <c r="J1127" s="355"/>
      <c r="K1127" s="355"/>
      <c r="L1127" s="367"/>
      <c r="M1127" s="332"/>
      <c r="N1127" s="340"/>
      <c r="O1127" s="341"/>
    </row>
    <row r="1128" spans="1:15" ht="16.2">
      <c r="A1128" s="288"/>
      <c r="B1128" s="417" t="s">
        <v>1022</v>
      </c>
      <c r="C1128" s="388" t="str">
        <f>IF(OR(I1128&lt;&gt;0,H1128&lt;&gt;0),"x"," ")</f>
        <v xml:space="preserve"> </v>
      </c>
      <c r="D1128" s="338"/>
      <c r="E1128" s="358" t="str">
        <f>VLOOKUP($B1128,DG!A:D,DG!$C$2,)</f>
        <v>Ống nối dây cỡ 240mm2</v>
      </c>
      <c r="F1128" s="594" t="str">
        <f>VLOOKUP($B1128,DG!A:D,DG!$D$2,)</f>
        <v>cái</v>
      </c>
      <c r="G1128" s="595">
        <f>ROUND((D1042+D1043)*1.03/1200,0)</f>
        <v>0</v>
      </c>
      <c r="H1128" s="355">
        <f t="shared" si="63"/>
        <v>0</v>
      </c>
      <c r="I1128" s="355">
        <f>H1128+J1128-K1128</f>
        <v>0</v>
      </c>
      <c r="J1128" s="355"/>
      <c r="K1128" s="355"/>
      <c r="L1128" s="367"/>
      <c r="M1128" s="332"/>
      <c r="N1128" s="340"/>
      <c r="O1128" s="341"/>
    </row>
    <row r="1129" spans="1:15" ht="16.2">
      <c r="A1129" s="288"/>
      <c r="B1129" s="417" t="s">
        <v>717</v>
      </c>
      <c r="C1129" s="388" t="str">
        <f>IF(OR(I1129&lt;&gt;0,H1129&lt;&gt;0),"x"," ")</f>
        <v xml:space="preserve"> </v>
      </c>
      <c r="D1129" s="338"/>
      <c r="E1129" s="358" t="str">
        <f>VLOOKUP($B1129,DG!A:D,DG!$C$2,)</f>
        <v>Boulon 16x300</v>
      </c>
      <c r="F1129" s="594" t="str">
        <f>VLOOKUP($B1129,DG!A:D,DG!$D$2,)</f>
        <v>bộ</v>
      </c>
      <c r="G1129" s="595">
        <f>'[3]pp3p2m '!DF82</f>
        <v>0</v>
      </c>
      <c r="H1129" s="355">
        <f t="shared" si="63"/>
        <v>0</v>
      </c>
      <c r="I1129" s="355">
        <f>H1129+J1129-K1129</f>
        <v>0</v>
      </c>
      <c r="J1129" s="355"/>
      <c r="K1129" s="355"/>
      <c r="L1129" s="367"/>
      <c r="M1129" s="332"/>
      <c r="N1129" s="340"/>
      <c r="O1129" s="341"/>
    </row>
    <row r="1130" spans="1:15" ht="16.2">
      <c r="A1130" s="288"/>
      <c r="B1130" s="417" t="s">
        <v>1023</v>
      </c>
      <c r="C1130" s="388" t="str">
        <f>IF(OR(I1130&lt;&gt;0,H1130&lt;&gt;0),"x"," ")</f>
        <v xml:space="preserve"> </v>
      </c>
      <c r="D1130" s="338"/>
      <c r="E1130" s="358" t="str">
        <f>VLOOKUP($B1130,DG!A:D,DG!$C$2,)</f>
        <v xml:space="preserve">Dây nhôm buộc </v>
      </c>
      <c r="F1130" s="594" t="str">
        <f>VLOOKUP($B1130,DG!A:D,DG!$D$2,)</f>
        <v>kg</v>
      </c>
      <c r="G1130" s="595">
        <f>SUM(G1132:G1144)*5/1.4</f>
        <v>0</v>
      </c>
      <c r="H1130" s="355">
        <f t="shared" si="63"/>
        <v>0</v>
      </c>
      <c r="I1130" s="355">
        <f>H1130+J1130-K1130</f>
        <v>0</v>
      </c>
      <c r="J1130" s="355"/>
      <c r="K1130" s="355"/>
      <c r="L1130" s="367"/>
      <c r="M1130" s="332"/>
      <c r="N1130" s="340"/>
      <c r="O1130" s="341"/>
    </row>
    <row r="1131" spans="1:15" ht="16.2">
      <c r="A1131" s="288"/>
      <c r="B1131" s="417" t="s">
        <v>1024</v>
      </c>
      <c r="C1131" s="388" t="e">
        <f>IF(OR(I1131&lt;&gt;0,H1131&lt;&gt;0),"x"," ")</f>
        <v>#REF!</v>
      </c>
      <c r="D1131" s="338"/>
      <c r="E1131" s="358" t="str">
        <f>VLOOKUP($B1131,DG!A:D,DG!$C$2,)</f>
        <v>Biển số - Bảng nguy hiểm</v>
      </c>
      <c r="F1131" s="594" t="str">
        <f>VLOOKUP($B1131,DG!A:D,DG!$D$2,)</f>
        <v>cái</v>
      </c>
      <c r="G1131" s="595" t="e">
        <f>SUM(#REF!)</f>
        <v>#REF!</v>
      </c>
      <c r="H1131" s="355" t="e">
        <f t="shared" si="63"/>
        <v>#REF!</v>
      </c>
      <c r="I1131" s="355" t="e">
        <f>H1131+J1131-K1131</f>
        <v>#REF!</v>
      </c>
      <c r="J1131" s="355"/>
      <c r="K1131" s="355"/>
      <c r="L1131" s="367"/>
      <c r="M1131" s="332"/>
      <c r="N1131" s="340"/>
      <c r="O1131" s="341"/>
    </row>
    <row r="1132" spans="1:15" ht="16.2">
      <c r="A1132" s="288"/>
      <c r="B1132" s="417" t="s">
        <v>1025</v>
      </c>
      <c r="C1132" s="388" t="str">
        <f>IF(OR(I1132&lt;&gt;0,H1132&lt;&gt;0),"x"," ")</f>
        <v xml:space="preserve"> </v>
      </c>
      <c r="D1132" s="338" t="str">
        <f>VLOOKUP($B1132,DG!A:D,DG!$B$2,)</f>
        <v>06.6114</v>
      </c>
      <c r="E1132" s="366" t="str">
        <f>VLOOKUP($B1132,DG!A:D,DG!$C$2,)</f>
        <v>Kéo dây nhôm lõi thép cỡ dây 50mm2</v>
      </c>
      <c r="F1132" s="594" t="str">
        <f>VLOOKUP($B1132,DG!A:D,DG!$D$2,)</f>
        <v>km</v>
      </c>
      <c r="G1132" s="595"/>
      <c r="H1132" s="355"/>
      <c r="I1132" s="355">
        <f>H1132+J1132-K1132</f>
        <v>0</v>
      </c>
      <c r="J1132" s="355"/>
      <c r="K1132" s="355"/>
      <c r="L1132" s="367"/>
      <c r="M1132" s="332"/>
      <c r="N1132" s="340"/>
      <c r="O1132" s="341"/>
    </row>
    <row r="1133" spans="1:15" ht="16.2">
      <c r="A1133" s="288"/>
      <c r="B1133" s="417" t="s">
        <v>1027</v>
      </c>
      <c r="C1133" s="388" t="str">
        <f>IF(OR(I1133&lt;&gt;0,H1133&lt;&gt;0),"x"," ")</f>
        <v xml:space="preserve"> </v>
      </c>
      <c r="D1133" s="338" t="str">
        <f>VLOOKUP($B1133,DG!A:D,DG!$B$2,)</f>
        <v>06.6105</v>
      </c>
      <c r="E1133" s="366" t="str">
        <f>VLOOKUP($B1133,DG!A:D,DG!$C$2,)</f>
        <v>Kéo dây nhôm lõi thép cỡ dây 70mm2</v>
      </c>
      <c r="F1133" s="594" t="str">
        <f>VLOOKUP($B1133,DG!A:D,DG!$D$2,)</f>
        <v>km</v>
      </c>
      <c r="G1133" s="595">
        <f>(D1037)/1000</f>
        <v>0</v>
      </c>
      <c r="H1133" s="355"/>
      <c r="I1133" s="355">
        <f>H1133+J1133-K1133</f>
        <v>0</v>
      </c>
      <c r="J1133" s="355"/>
      <c r="K1133" s="355"/>
      <c r="L1133" s="367"/>
      <c r="M1133" s="332"/>
      <c r="N1133" s="340"/>
      <c r="O1133" s="341"/>
    </row>
    <row r="1134" spans="1:15" ht="16.2">
      <c r="A1134" s="288"/>
      <c r="B1134" s="417" t="s">
        <v>1028</v>
      </c>
      <c r="C1134" s="388" t="str">
        <f>IF(OR(I1134&lt;&gt;0,H1134&lt;&gt;0),"x"," ")</f>
        <v xml:space="preserve"> </v>
      </c>
      <c r="D1134" s="338" t="str">
        <f>VLOOKUP($B1134,DG!A:D,DG!$B$2,)</f>
        <v>06.6106</v>
      </c>
      <c r="E1134" s="366" t="str">
        <f>VLOOKUP($B1134,DG!A:D,DG!$C$2,)</f>
        <v>Kéo dây nhôm lõi thép cỡ dây 95mm2</v>
      </c>
      <c r="F1134" s="594" t="str">
        <f>VLOOKUP($B1134,DG!A:D,DG!$D$2,)</f>
        <v>km</v>
      </c>
      <c r="G1134" s="595">
        <f>(D1038)/1000</f>
        <v>0</v>
      </c>
      <c r="H1134" s="355"/>
      <c r="I1134" s="355">
        <f>H1134+J1134-K1134</f>
        <v>0</v>
      </c>
      <c r="J1134" s="355"/>
      <c r="K1134" s="355"/>
      <c r="L1134" s="367"/>
      <c r="M1134" s="332"/>
      <c r="N1134" s="340"/>
      <c r="O1134" s="341"/>
    </row>
    <row r="1135" spans="1:15" ht="16.2">
      <c r="A1135" s="288"/>
      <c r="B1135" s="417" t="s">
        <v>1029</v>
      </c>
      <c r="C1135" s="388" t="str">
        <f>IF(OR(I1135&lt;&gt;0,H1135&lt;&gt;0),"x"," ")</f>
        <v xml:space="preserve"> </v>
      </c>
      <c r="D1135" s="338" t="str">
        <f>VLOOKUP($B1135,DG!A:D,DG!$B$2,)</f>
        <v>06.6107</v>
      </c>
      <c r="E1135" s="366" t="str">
        <f>VLOOKUP($B1135,DG!A:D,DG!$C$2,)</f>
        <v>Kéo dây nhôm lõi thép cỡ dây 120mm2</v>
      </c>
      <c r="F1135" s="594" t="str">
        <f>VLOOKUP($B1135,DG!A:D,DG!$D$2,)</f>
        <v>km</v>
      </c>
      <c r="G1135" s="595">
        <f>(D1039)/1000</f>
        <v>0</v>
      </c>
      <c r="H1135" s="355"/>
      <c r="I1135" s="355">
        <f>H1135+J1135-K1135</f>
        <v>0</v>
      </c>
      <c r="J1135" s="355"/>
      <c r="K1135" s="355"/>
      <c r="L1135" s="367"/>
      <c r="M1135" s="332"/>
      <c r="N1135" s="340"/>
      <c r="O1135" s="341"/>
    </row>
    <row r="1136" spans="1:15" ht="16.2">
      <c r="A1136" s="288"/>
      <c r="B1136" s="417" t="s">
        <v>1030</v>
      </c>
      <c r="C1136" s="388" t="str">
        <f>IF(OR(I1136&lt;&gt;0,H1136&lt;&gt;0),"x"," ")</f>
        <v xml:space="preserve"> </v>
      </c>
      <c r="D1136" s="338" t="str">
        <f>VLOOKUP($B1136,DG!A:D,DG!$B$2,)</f>
        <v>06.6108</v>
      </c>
      <c r="E1136" s="366" t="str">
        <f>VLOOKUP($B1136,DG!A:D,DG!$C$2,)</f>
        <v>Kéo dây nhôm lõi thép cỡ dây 150mm2</v>
      </c>
      <c r="F1136" s="594" t="str">
        <f>VLOOKUP($B1136,DG!A:D,DG!$D$2,)</f>
        <v>km</v>
      </c>
      <c r="G1136" s="595">
        <f>(D1040)/1000</f>
        <v>0</v>
      </c>
      <c r="H1136" s="355"/>
      <c r="I1136" s="355">
        <f>H1136+J1136-K1136</f>
        <v>0</v>
      </c>
      <c r="J1136" s="355"/>
      <c r="K1136" s="355"/>
      <c r="L1136" s="367"/>
      <c r="M1136" s="332"/>
      <c r="N1136" s="340"/>
      <c r="O1136" s="341"/>
    </row>
    <row r="1137" spans="1:15" ht="16.2">
      <c r="A1137" s="288"/>
      <c r="B1137" s="417" t="s">
        <v>1032</v>
      </c>
      <c r="C1137" s="388" t="str">
        <f>IF(OR(I1137&lt;&gt;0,H1137&lt;&gt;0),"x"," ")</f>
        <v xml:space="preserve"> </v>
      </c>
      <c r="D1137" s="338" t="str">
        <f>VLOOKUP($B1137,DG!A:D,DG!$B$2,)</f>
        <v>06.6109</v>
      </c>
      <c r="E1137" s="366" t="str">
        <f>VLOOKUP($B1137,DG!A:D,DG!$C$2,)</f>
        <v>Kéo dây nhôm lõi thép cỡ dây 185mm2</v>
      </c>
      <c r="F1137" s="594" t="str">
        <f>VLOOKUP($B1137,DG!A:D,DG!$D$2,)</f>
        <v>km</v>
      </c>
      <c r="G1137" s="595">
        <f>(D1041)/1000</f>
        <v>0</v>
      </c>
      <c r="H1137" s="355"/>
      <c r="I1137" s="355">
        <f>H1137+J1137-K1137</f>
        <v>0</v>
      </c>
      <c r="J1137" s="355"/>
      <c r="K1137" s="355"/>
      <c r="L1137" s="367"/>
      <c r="M1137" s="332"/>
      <c r="N1137" s="340"/>
      <c r="O1137" s="341"/>
    </row>
    <row r="1138" spans="1:15" ht="16.2">
      <c r="A1138" s="288"/>
      <c r="B1138" s="417" t="s">
        <v>1033</v>
      </c>
      <c r="C1138" s="388" t="str">
        <f>IF(OR(I1138&lt;&gt;0,H1138&lt;&gt;0),"x"," ")</f>
        <v xml:space="preserve"> </v>
      </c>
      <c r="D1138" s="338" t="str">
        <f>VLOOKUP($B1138,DG!A:D,DG!$B$2,)</f>
        <v>06.6110</v>
      </c>
      <c r="E1138" s="366" t="str">
        <f>VLOOKUP($B1138,DG!A:D,DG!$C$2,)</f>
        <v>Kéo dây nhôm lõi thép cỡ dây 240mm2</v>
      </c>
      <c r="F1138" s="594" t="str">
        <f>VLOOKUP($B1138,DG!A:D,DG!$D$2,)</f>
        <v>km</v>
      </c>
      <c r="G1138" s="595">
        <f>(D1042)/1000</f>
        <v>0</v>
      </c>
      <c r="H1138" s="355"/>
      <c r="I1138" s="355">
        <f>H1138+J1138-K1138</f>
        <v>0</v>
      </c>
      <c r="J1138" s="355"/>
      <c r="K1138" s="355"/>
      <c r="L1138" s="367"/>
      <c r="M1138" s="332"/>
      <c r="N1138" s="340"/>
      <c r="O1138" s="341"/>
    </row>
    <row r="1139" spans="1:15" ht="16.2">
      <c r="A1139" s="288"/>
      <c r="B1139" s="417" t="s">
        <v>1034</v>
      </c>
      <c r="C1139" s="388" t="str">
        <f>IF(OR(I1139&lt;&gt;0,H1139&lt;&gt;0),"x"," ")</f>
        <v xml:space="preserve"> </v>
      </c>
      <c r="D1139" s="338" t="str">
        <f>VLOOKUP($B1139,DG!A:D,DG!$B$2,)</f>
        <v>06.6105</v>
      </c>
      <c r="E1139" s="366" t="str">
        <f>VLOOKUP($B1139,DG!A:D,DG!$C$2,)</f>
        <v>Kéo dây nhôm bọc 70mm2</v>
      </c>
      <c r="F1139" s="594" t="str">
        <f>VLOOKUP($B1139,DG!A:D,DG!$D$2,)</f>
        <v>km</v>
      </c>
      <c r="G1139" s="595">
        <f>D1048/1000</f>
        <v>0</v>
      </c>
      <c r="H1139" s="355"/>
      <c r="I1139" s="355">
        <f>H1139+J1139-K1139</f>
        <v>0</v>
      </c>
      <c r="J1139" s="355"/>
      <c r="K1139" s="355"/>
      <c r="L1139" s="367"/>
      <c r="M1139" s="332"/>
      <c r="N1139" s="340"/>
      <c r="O1139" s="341"/>
    </row>
    <row r="1140" spans="1:15" ht="16.2">
      <c r="A1140" s="288"/>
      <c r="B1140" s="417" t="s">
        <v>1035</v>
      </c>
      <c r="C1140" s="388" t="str">
        <f>IF(OR(I1140&lt;&gt;0,H1140&lt;&gt;0),"x"," ")</f>
        <v xml:space="preserve"> </v>
      </c>
      <c r="D1140" s="338" t="str">
        <f>VLOOKUP($B1140,DG!A:D,DG!$B$2,)</f>
        <v>06.6106</v>
      </c>
      <c r="E1140" s="366" t="str">
        <f>VLOOKUP($B1140,DG!A:D,DG!$C$2,)</f>
        <v>Kéo dây nhôm bọc 95mm2</v>
      </c>
      <c r="F1140" s="594" t="str">
        <f>VLOOKUP($B1140,DG!A:D,DG!$D$2,)</f>
        <v>km</v>
      </c>
      <c r="G1140" s="595">
        <f>D1047/1000</f>
        <v>0</v>
      </c>
      <c r="H1140" s="355"/>
      <c r="I1140" s="355">
        <f>H1140+J1140-K1140</f>
        <v>0</v>
      </c>
      <c r="J1140" s="355"/>
      <c r="K1140" s="355"/>
      <c r="L1140" s="367"/>
      <c r="M1140" s="332"/>
      <c r="N1140" s="340"/>
      <c r="O1140" s="341"/>
    </row>
    <row r="1141" spans="1:15" ht="16.2">
      <c r="A1141" s="288"/>
      <c r="B1141" s="417" t="s">
        <v>1036</v>
      </c>
      <c r="C1141" s="388" t="str">
        <f>IF(OR(I1141&lt;&gt;0,H1141&lt;&gt;0),"x"," ")</f>
        <v xml:space="preserve"> </v>
      </c>
      <c r="D1141" s="338" t="str">
        <f>VLOOKUP($B1141,DG!A:D,DG!$B$2,)</f>
        <v>06.6107</v>
      </c>
      <c r="E1141" s="366" t="str">
        <f>VLOOKUP($B1141,DG!A:D,DG!$C$2,)</f>
        <v>Kéo dây nhôm bọc 120mm2</v>
      </c>
      <c r="F1141" s="594" t="str">
        <f>VLOOKUP($B1141,DG!A:D,DG!$D$2,)</f>
        <v>km</v>
      </c>
      <c r="G1141" s="595">
        <f>D1046/1000</f>
        <v>0</v>
      </c>
      <c r="H1141" s="355"/>
      <c r="I1141" s="355">
        <f>H1141+J1141-K1141</f>
        <v>0</v>
      </c>
      <c r="J1141" s="355"/>
      <c r="K1141" s="355"/>
      <c r="L1141" s="367"/>
      <c r="M1141" s="332"/>
      <c r="N1141" s="340"/>
      <c r="O1141" s="341"/>
    </row>
    <row r="1142" spans="1:15" ht="16.2">
      <c r="A1142" s="288"/>
      <c r="B1142" s="417" t="s">
        <v>1037</v>
      </c>
      <c r="C1142" s="388" t="str">
        <f>IF(OR(I1142&lt;&gt;0,H1142&lt;&gt;0),"x"," ")</f>
        <v xml:space="preserve"> </v>
      </c>
      <c r="D1142" s="338" t="str">
        <f>VLOOKUP($B1142,DG!A:D,DG!$B$2,)</f>
        <v>06.6108</v>
      </c>
      <c r="E1142" s="366" t="str">
        <f>VLOOKUP($B1142,DG!A:D,DG!$C$2,)</f>
        <v>Kéo dây nhôm bọc 150mm2</v>
      </c>
      <c r="F1142" s="594" t="str">
        <f>VLOOKUP($B1142,DG!A:D,DG!$D$2,)</f>
        <v>km</v>
      </c>
      <c r="G1142" s="595">
        <f>D1045/1000</f>
        <v>0</v>
      </c>
      <c r="H1142" s="355"/>
      <c r="I1142" s="355">
        <f>H1142+J1142-K1142</f>
        <v>0</v>
      </c>
      <c r="J1142" s="355"/>
      <c r="K1142" s="355"/>
      <c r="L1142" s="367"/>
      <c r="M1142" s="332"/>
      <c r="N1142" s="340"/>
      <c r="O1142" s="341"/>
    </row>
    <row r="1143" spans="1:15" ht="16.2">
      <c r="A1143" s="288"/>
      <c r="B1143" s="417" t="s">
        <v>1038</v>
      </c>
      <c r="C1143" s="388" t="str">
        <f>IF(OR(I1143&lt;&gt;0,H1143&lt;&gt;0),"x"," ")</f>
        <v xml:space="preserve"> </v>
      </c>
      <c r="D1143" s="338" t="str">
        <f>VLOOKUP($B1143,DG!A:D,DG!$B$2,)</f>
        <v>06.6109</v>
      </c>
      <c r="E1143" s="366" t="str">
        <f>VLOOKUP($B1143,DG!A:D,DG!$C$2,)</f>
        <v>Kéo dây nhôm bọc 185mm2</v>
      </c>
      <c r="F1143" s="594" t="str">
        <f>VLOOKUP($B1143,DG!A:D,DG!$D$2,)</f>
        <v>km</v>
      </c>
      <c r="G1143" s="595">
        <f>D1044/1000</f>
        <v>0</v>
      </c>
      <c r="H1143" s="355"/>
      <c r="I1143" s="355">
        <f>H1143+J1143-K1143</f>
        <v>0</v>
      </c>
      <c r="J1143" s="355"/>
      <c r="K1143" s="355"/>
      <c r="L1143" s="367"/>
      <c r="M1143" s="332"/>
      <c r="N1143" s="340"/>
      <c r="O1143" s="341"/>
    </row>
    <row r="1144" spans="1:15" ht="16.2">
      <c r="A1144" s="288"/>
      <c r="B1144" s="417" t="s">
        <v>1039</v>
      </c>
      <c r="C1144" s="388" t="str">
        <f>IF(OR(I1144&lt;&gt;0,H1144&lt;&gt;0),"x"," ")</f>
        <v xml:space="preserve"> </v>
      </c>
      <c r="D1144" s="338" t="str">
        <f>VLOOKUP($B1144,DG!A:D,DG!$B$2,)</f>
        <v>06.6110</v>
      </c>
      <c r="E1144" s="366" t="str">
        <f>VLOOKUP($B1144,DG!A:D,DG!$C$2,)</f>
        <v>Kéo dây nhôm bọc 240mm2</v>
      </c>
      <c r="F1144" s="594" t="str">
        <f>VLOOKUP($B1144,DG!A:D,DG!$D$2,)</f>
        <v>km</v>
      </c>
      <c r="G1144" s="595">
        <f>D1043/1000</f>
        <v>0</v>
      </c>
      <c r="H1144" s="355"/>
      <c r="I1144" s="355">
        <f>H1144+J1144-K1144</f>
        <v>0</v>
      </c>
      <c r="J1144" s="355"/>
      <c r="K1144" s="355"/>
      <c r="L1144" s="367"/>
      <c r="M1144" s="332"/>
      <c r="N1144" s="340"/>
      <c r="O1144" s="341"/>
    </row>
    <row r="1145" spans="1:15" ht="16.2">
      <c r="A1145" s="288"/>
      <c r="B1145" s="351" t="s">
        <v>1075</v>
      </c>
      <c r="C1145" s="388" t="str">
        <f>IF(OR(I1145&lt;&gt;0,H1145&lt;&gt;0),"x"," ")</f>
        <v xml:space="preserve"> </v>
      </c>
      <c r="D1145" s="338" t="str">
        <f>VLOOKUP($B1145,DG!A:D,DG!$B$2,)</f>
        <v>06.1115</v>
      </c>
      <c r="E1145" s="366" t="str">
        <f>VLOOKUP($B1145,DG!A:D,DG!$C$2,)</f>
        <v>Lắp sứ đứng 24KV</v>
      </c>
      <c r="F1145" s="594" t="str">
        <f>VLOOKUP($B1145,DG!A:D,DG!$D$2,)</f>
        <v>bộ</v>
      </c>
      <c r="G1145" s="595">
        <f>G1061+G1064+G1068*2</f>
        <v>0</v>
      </c>
      <c r="H1145" s="355"/>
      <c r="I1145" s="355">
        <f>H1145+J1145-K1145</f>
        <v>0</v>
      </c>
      <c r="J1145" s="355"/>
      <c r="K1145" s="355"/>
      <c r="L1145" s="367"/>
      <c r="M1145" s="332"/>
      <c r="N1145" s="340"/>
      <c r="O1145" s="341"/>
    </row>
    <row r="1146" spans="1:15" ht="16.2">
      <c r="A1146" s="288"/>
      <c r="B1146" s="351" t="s">
        <v>1076</v>
      </c>
      <c r="C1146" s="388" t="str">
        <f>IF(OR(I1146&lt;&gt;0,H1146&lt;&gt;0),"x"," ")</f>
        <v xml:space="preserve"> </v>
      </c>
      <c r="D1146" s="338" t="str">
        <f>VLOOKUP($B1146,DG!A:D,DG!$B$2,)</f>
        <v>06.3231</v>
      </c>
      <c r="E1146" s="366" t="str">
        <f>VLOOKUP($B1146,DG!A:D,DG!$C$2,)</f>
        <v>Lắp chân sứ đỉnh</v>
      </c>
      <c r="F1146" s="594" t="str">
        <f>VLOOKUP($B1146,DG!A:D,DG!$D$2,)</f>
        <v>cái</v>
      </c>
      <c r="G1146" s="595">
        <f>G1064+G1068*2</f>
        <v>0</v>
      </c>
      <c r="H1146" s="355"/>
      <c r="I1146" s="355">
        <f>H1146+J1146-K1146</f>
        <v>0</v>
      </c>
      <c r="J1146" s="355"/>
      <c r="K1146" s="355"/>
      <c r="L1146" s="367"/>
      <c r="M1146" s="332"/>
      <c r="N1146" s="340"/>
      <c r="O1146" s="341"/>
    </row>
    <row r="1147" spans="1:15" ht="16.2">
      <c r="A1147" s="288"/>
      <c r="B1147" s="351" t="s">
        <v>1040</v>
      </c>
      <c r="C1147" s="388" t="str">
        <f>IF(OR(I1147&lt;&gt;0,H1147&lt;&gt;0),"x"," ")</f>
        <v xml:space="preserve"> </v>
      </c>
      <c r="D1147" s="338" t="str">
        <f>VLOOKUP($B1147,DG!A:D,DG!$B$2,)</f>
        <v>06.1410</v>
      </c>
      <c r="E1147" s="366" t="str">
        <f>VLOOKUP($B1147,DG!A:D,DG!$C$2,)</f>
        <v>Lắp chuỗi sứ đỡ 2 bát/chuỗi</v>
      </c>
      <c r="F1147" s="594" t="str">
        <f>VLOOKUP($B1147,DG!A:D,DG!$D$2,)</f>
        <v>chuỗi</v>
      </c>
      <c r="G1147" s="595">
        <f>-SUM(G1090:G1091)</f>
        <v>0</v>
      </c>
      <c r="H1147" s="355"/>
      <c r="I1147" s="355">
        <f>H1147+J1147-K1147</f>
        <v>0</v>
      </c>
      <c r="J1147" s="355"/>
      <c r="K1147" s="355"/>
      <c r="L1147" s="367"/>
      <c r="M1147" s="332"/>
      <c r="N1147" s="340"/>
      <c r="O1147" s="341"/>
    </row>
    <row r="1148" spans="1:15" ht="16.2">
      <c r="A1148" s="288"/>
      <c r="B1148" s="351" t="s">
        <v>1041</v>
      </c>
      <c r="C1148" s="388" t="str">
        <f>IF(OR(I1148&lt;&gt;0,H1148&lt;&gt;0),"x"," ")</f>
        <v xml:space="preserve"> </v>
      </c>
      <c r="D1148" s="338" t="str">
        <f>VLOOKUP($B1148,DG!A:D,DG!$B$2,)</f>
        <v>06.1511</v>
      </c>
      <c r="E1148" s="366" t="str">
        <f>VLOOKUP($B1148,DG!A:D,DG!$C$2,)</f>
        <v>Lắp chuỗi sứ néo 2 bát/chuỗi</v>
      </c>
      <c r="F1148" s="594" t="str">
        <f>VLOOKUP($B1148,DG!A:D,DG!$D$2,)</f>
        <v>chuỗi</v>
      </c>
      <c r="G1148" s="595">
        <f>G1081+G1072-G1147</f>
        <v>0</v>
      </c>
      <c r="H1148" s="355"/>
      <c r="I1148" s="355">
        <f>H1148+J1148-K1148</f>
        <v>0</v>
      </c>
      <c r="J1148" s="355"/>
      <c r="K1148" s="355"/>
      <c r="L1148" s="367"/>
      <c r="M1148" s="332"/>
      <c r="N1148" s="340"/>
      <c r="O1148" s="341"/>
    </row>
    <row r="1149" spans="1:15" ht="16.2">
      <c r="A1149" s="288"/>
      <c r="B1149" s="351" t="s">
        <v>1042</v>
      </c>
      <c r="C1149" s="388" t="str">
        <f>IF(OR(I1149&lt;&gt;0,H1149&lt;&gt;0),"x"," ")</f>
        <v xml:space="preserve"> </v>
      </c>
      <c r="D1149" s="338" t="str">
        <f>VLOOKUP($B1149,DG!A:D,DG!$B$2,)</f>
        <v>06.2201</v>
      </c>
      <c r="E1149" s="366" t="str">
        <f>VLOOKUP($B1149,DG!A:D,DG!$C$2,)</f>
        <v>Lắp chuỗi sứ néo Polymer</v>
      </c>
      <c r="F1149" s="594" t="str">
        <f>VLOOKUP($B1149,DG!A:D,DG!$D$2,)</f>
        <v>chuỗi</v>
      </c>
      <c r="G1149" s="595">
        <f>G1082+G1073-G1148</f>
        <v>0</v>
      </c>
      <c r="H1149" s="355"/>
      <c r="I1149" s="355">
        <f>H1149+J1149-K1149</f>
        <v>0</v>
      </c>
      <c r="J1149" s="355"/>
      <c r="K1149" s="355"/>
      <c r="L1149" s="367"/>
      <c r="M1149" s="332"/>
      <c r="N1149" s="340"/>
      <c r="O1149" s="341"/>
    </row>
    <row r="1150" spans="1:15" ht="16.2">
      <c r="A1150" s="288"/>
      <c r="B1150" s="351" t="s">
        <v>1046</v>
      </c>
      <c r="C1150" s="388" t="str">
        <f>IF(OR(I1150&lt;&gt;0,H1150&lt;&gt;0),"x"," ")</f>
        <v xml:space="preserve"> </v>
      </c>
      <c r="D1150" s="338" t="str">
        <f>VLOOKUP($B1150,DG!A:D,DG!$B$2,)</f>
        <v>06.1211</v>
      </c>
      <c r="E1150" s="366" t="str">
        <f>VLOOKUP($B1150,DG!A:D,DG!$C$2,)</f>
        <v>Lắp rack sứ + sứ ống chỉ</v>
      </c>
      <c r="F1150" s="594" t="str">
        <f>VLOOKUP($B1150,DG!A:D,DG!$D$2,)</f>
        <v>bộ</v>
      </c>
      <c r="G1150" s="595">
        <f>G1049+G1052</f>
        <v>0</v>
      </c>
      <c r="H1150" s="355"/>
      <c r="I1150" s="355">
        <f>H1150+J1150-K1150</f>
        <v>0</v>
      </c>
      <c r="J1150" s="355"/>
      <c r="K1150" s="355"/>
      <c r="L1150" s="367"/>
      <c r="M1150" s="332"/>
      <c r="N1150" s="340"/>
      <c r="O1150" s="341"/>
    </row>
    <row r="1151" spans="1:15" ht="16.2">
      <c r="A1151" s="288"/>
      <c r="B1151" s="351" t="s">
        <v>1058</v>
      </c>
      <c r="C1151" s="388" t="str">
        <f>IF(OR(I1151&lt;&gt;0,H1151&lt;&gt;0),"x"," ")</f>
        <v xml:space="preserve"> </v>
      </c>
      <c r="D1151" s="338" t="str">
        <f>VLOOKUP($B1151,DG!A:D,DG!$B$2,)</f>
        <v>06.5072</v>
      </c>
      <c r="E1151" s="366" t="str">
        <f>VLOOKUP($B1151,DG!A:D,DG!$C$2,)</f>
        <v xml:space="preserve">Kéo dây qua vị trí bẻ góc dây </v>
      </c>
      <c r="F1151" s="594" t="str">
        <f>VLOOKUP($B1151,DG!A:D,DG!$D$2,)</f>
        <v>vị trí</v>
      </c>
      <c r="G1151" s="595">
        <f>I1151</f>
        <v>0</v>
      </c>
      <c r="H1151" s="355"/>
      <c r="I1151" s="355">
        <f>H1151+J1151-K1151</f>
        <v>0</v>
      </c>
      <c r="J1151" s="355"/>
      <c r="K1151" s="355"/>
      <c r="L1151" s="367"/>
      <c r="M1151" s="332"/>
      <c r="N1151" s="340"/>
      <c r="O1151" s="341"/>
    </row>
    <row r="1152" spans="1:15" ht="16.2">
      <c r="A1152" s="288"/>
      <c r="B1152" s="351" t="s">
        <v>1059</v>
      </c>
      <c r="C1152" s="388" t="str">
        <f>IF(OR(I1152&lt;&gt;0,H1152&lt;&gt;0),"x"," ")</f>
        <v xml:space="preserve"> </v>
      </c>
      <c r="D1152" s="338" t="str">
        <f>VLOOKUP($B1152,DG!A:D,DG!$B$2,)</f>
        <v>06.5082</v>
      </c>
      <c r="E1152" s="366" t="str">
        <f>VLOOKUP($B1152,DG!A:D,DG!$C$2,)</f>
        <v>Kéo dây qua sông ( S&lt;=300)</v>
      </c>
      <c r="F1152" s="594" t="str">
        <f>VLOOKUP($B1152,DG!A:D,DG!$D$2,)</f>
        <v>vị trí</v>
      </c>
      <c r="G1152" s="595">
        <f>'[3]pp3p2m '!EA82</f>
        <v>0</v>
      </c>
      <c r="H1152" s="355"/>
      <c r="I1152" s="355">
        <f>H1152+J1152-K1152</f>
        <v>0</v>
      </c>
      <c r="J1152" s="355"/>
      <c r="K1152" s="355"/>
      <c r="L1152" s="367"/>
      <c r="M1152" s="332"/>
      <c r="N1152" s="340"/>
      <c r="O1152" s="341"/>
    </row>
    <row r="1153" spans="1:15" ht="16.2">
      <c r="A1153" s="288"/>
      <c r="B1153" s="351" t="s">
        <v>1060</v>
      </c>
      <c r="C1153" s="388" t="str">
        <f>IF(OR(I1153&lt;&gt;0,H1153&lt;&gt;0),"x"," ")</f>
        <v xml:space="preserve"> </v>
      </c>
      <c r="D1153" s="338" t="str">
        <f>VLOOKUP($B1153,DG!A:D,DG!$B$2,)</f>
        <v>02.1122</v>
      </c>
      <c r="E1153" s="366" t="str">
        <f>VLOOKUP($B1153,DG!A:D,DG!$C$2,)</f>
        <v>Bốc dỡ dây</v>
      </c>
      <c r="F1153" s="594" t="str">
        <f>VLOOKUP($B1153,DG!A:D,DG!$D$2,)</f>
        <v>tấn</v>
      </c>
      <c r="G1153" s="595">
        <f>G1033</f>
        <v>0</v>
      </c>
      <c r="H1153" s="355"/>
      <c r="I1153" s="355">
        <f>H1153+J1153-K1153</f>
        <v>0</v>
      </c>
      <c r="J1153" s="355"/>
      <c r="K1153" s="355"/>
      <c r="L1153" s="367"/>
      <c r="M1153" s="332"/>
      <c r="N1153" s="340"/>
      <c r="O1153" s="341"/>
    </row>
    <row r="1154" spans="1:15" ht="16.2">
      <c r="A1154" s="288"/>
      <c r="B1154" s="351" t="s">
        <v>604</v>
      </c>
      <c r="C1154" s="388" t="str">
        <f>IF(OR(I1154&lt;&gt;0,H1154&lt;&gt;0),"x"," ")</f>
        <v xml:space="preserve"> </v>
      </c>
      <c r="D1154" s="338" t="str">
        <f>VLOOKUP($B1154,DG!A:D,DG!$B$2,)</f>
        <v>02.1120</v>
      </c>
      <c r="E1154" s="366" t="str">
        <f>VLOOKUP($B1154,DG!A:D,DG!$C$2,)</f>
        <v>Bốc dỡ phụ kiện</v>
      </c>
      <c r="F1154" s="594" t="str">
        <f>VLOOKUP($B1154,DG!A:D,DG!$D$2,)</f>
        <v>tấn</v>
      </c>
      <c r="G1154" s="595">
        <f>G1032</f>
        <v>0</v>
      </c>
      <c r="H1154" s="355"/>
      <c r="I1154" s="355">
        <f>H1154+J1154-K1154</f>
        <v>0</v>
      </c>
      <c r="J1154" s="355"/>
      <c r="K1154" s="355"/>
      <c r="L1154" s="367"/>
      <c r="M1154" s="332"/>
      <c r="N1154" s="340"/>
      <c r="O1154" s="341"/>
    </row>
    <row r="1155" spans="1:15" ht="16.2">
      <c r="A1155" s="288"/>
      <c r="B1155" s="371" t="s">
        <v>827</v>
      </c>
      <c r="C1155" s="388" t="str">
        <f>IF(OR(I1155&lt;&gt;0,H1155&lt;&gt;0),"x"," ")</f>
        <v xml:space="preserve"> </v>
      </c>
      <c r="D1155" s="338" t="str">
        <f>VLOOKUP($B1155,DG!A:D,DG!$B$2,)</f>
        <v>02.1421</v>
      </c>
      <c r="E1155" s="366" t="str">
        <f>VLOOKUP($B1155,DG!A:D,DG!$C$2,)</f>
        <v>V/c phụ kiện vào vị trí (cự ly &lt;=100m)</v>
      </c>
      <c r="F1155" s="594" t="str">
        <f>VLOOKUP($B1155,DG!A:D,DG!$D$2,)</f>
        <v>tấn</v>
      </c>
      <c r="G1155" s="595"/>
      <c r="H1155" s="355"/>
      <c r="I1155" s="355">
        <f>H1155+J1155-K1155</f>
        <v>0</v>
      </c>
      <c r="J1155" s="355"/>
      <c r="K1155" s="355"/>
      <c r="L1155" s="367"/>
      <c r="M1155" s="332"/>
      <c r="N1155" s="340"/>
      <c r="O1155" s="341"/>
    </row>
    <row r="1156" spans="1:15" ht="16.2">
      <c r="A1156" s="288"/>
      <c r="B1156" s="371" t="s">
        <v>1061</v>
      </c>
      <c r="C1156" s="388" t="str">
        <f>IF(OR(I1156&lt;&gt;0,H1156&lt;&gt;0),"x"," ")</f>
        <v xml:space="preserve"> </v>
      </c>
      <c r="D1156" s="338" t="str">
        <f>VLOOKUP($B1156,DG!A:D,DG!$B$2,)</f>
        <v>02.1441</v>
      </c>
      <c r="E1156" s="366" t="str">
        <f>VLOOKUP($B1156,DG!A:D,DG!$C$2,)</f>
        <v>V/c dây vào vị trí (cự ly &lt;=100m)</v>
      </c>
      <c r="F1156" s="594" t="str">
        <f>VLOOKUP($B1156,DG!A:D,DG!$D$2,)</f>
        <v>tấn</v>
      </c>
      <c r="G1156" s="595"/>
      <c r="H1156" s="355"/>
      <c r="I1156" s="355">
        <f>H1156+J1156-K1156</f>
        <v>0</v>
      </c>
      <c r="J1156" s="355"/>
      <c r="K1156" s="355"/>
      <c r="L1156" s="367"/>
      <c r="M1156" s="332"/>
      <c r="N1156" s="340"/>
      <c r="O1156" s="341"/>
    </row>
    <row r="1157" spans="1:15" ht="16.2">
      <c r="A1157" s="288"/>
      <c r="B1157" s="356" t="s">
        <v>901</v>
      </c>
      <c r="C1157" s="388" t="str">
        <f>IF(OR(I1157&lt;&gt;0,H1157&lt;&gt;0),"x"," ")</f>
        <v xml:space="preserve"> </v>
      </c>
      <c r="D1157" s="338" t="str">
        <f>VLOOKUP($B1157,DG!A:D,DG!$B$2,)</f>
        <v>02.1482</v>
      </c>
      <c r="E1157" s="366" t="str">
        <f>VLOOKUP($B1157,DG!A:D,DG!$C$2,)</f>
        <v>V/c dụng cụ thi công vào vị trí (cự ly &lt;=100m)</v>
      </c>
      <c r="F1157" s="594" t="str">
        <f>VLOOKUP($B1157,DG!A:D,DG!$D$2,)</f>
        <v>tấn</v>
      </c>
      <c r="G1157" s="595"/>
      <c r="H1157" s="355"/>
      <c r="I1157" s="355">
        <f>H1157+J1157-K1157</f>
        <v>0</v>
      </c>
      <c r="J1157" s="355"/>
      <c r="K1157" s="355"/>
      <c r="L1157" s="367"/>
      <c r="M1157" s="332"/>
      <c r="N1157" s="340"/>
      <c r="O1157" s="341"/>
    </row>
    <row r="1158" spans="1:15" ht="16.2">
      <c r="A1158" s="372" t="s">
        <v>1077</v>
      </c>
      <c r="B1158" s="373" t="s">
        <v>1077</v>
      </c>
      <c r="C1158" s="388" t="str">
        <f>IF(G1158&lt;&gt;0,"x"," ")</f>
        <v xml:space="preserve"> </v>
      </c>
      <c r="D1158" s="347">
        <v>1</v>
      </c>
      <c r="E1158" s="346" t="s">
        <v>1078</v>
      </c>
      <c r="F1158" s="593" t="s">
        <v>934</v>
      </c>
      <c r="G1158" s="349">
        <f>IF(SUM(G1159:G1177)&lt;&gt;0,1,0)</f>
        <v>0</v>
      </c>
      <c r="H1158" s="349">
        <f>IFERROR(HLOOKUP(B1158,'BKT-ThuHoi'!$5:$183,179,0),0)</f>
        <v>0</v>
      </c>
      <c r="I1158" s="350">
        <f>H1158</f>
        <v>0</v>
      </c>
      <c r="J1158" s="350"/>
      <c r="K1158" s="350"/>
      <c r="L1158" s="348"/>
      <c r="M1158" s="340"/>
      <c r="N1158" s="340"/>
      <c r="O1158" s="341"/>
    </row>
    <row r="1159" spans="1:15" ht="16.2">
      <c r="A1159" s="288"/>
      <c r="B1159" s="351" t="s">
        <v>935</v>
      </c>
      <c r="C1159" s="388" t="str">
        <f>IF(OR(I1159&lt;&gt;0,H1159&lt;&gt;0),"x"," ")</f>
        <v xml:space="preserve"> </v>
      </c>
      <c r="D1159" s="410"/>
      <c r="E1159" s="358" t="str">
        <f>VLOOKUP($B1159,DG!A:D,DG!$C$2,)</f>
        <v>Cáp nhôm lõi thép AC-240/39</v>
      </c>
      <c r="F1159" s="594" t="str">
        <f>VLOOKUP($B1159,DG!A:D,DG!$D$2,)</f>
        <v>kg</v>
      </c>
      <c r="G1159" s="595">
        <f>ROUND(D1159*1.02*0.921,2)</f>
        <v>0</v>
      </c>
      <c r="H1159" s="355">
        <f>$G1159</f>
        <v>0</v>
      </c>
      <c r="I1159" s="355">
        <f>H1159+J1159-K1159</f>
        <v>0</v>
      </c>
      <c r="J1159" s="355"/>
      <c r="K1159" s="355"/>
      <c r="L1159" s="367"/>
      <c r="M1159" s="332"/>
      <c r="N1159" s="340"/>
      <c r="O1159" s="341"/>
    </row>
    <row r="1160" spans="1:15" ht="16.2">
      <c r="A1160" s="288"/>
      <c r="B1160" s="351" t="s">
        <v>936</v>
      </c>
      <c r="C1160" s="388" t="str">
        <f>IF(OR(I1160&lt;&gt;0,H1160&lt;&gt;0),"x"," ")</f>
        <v xml:space="preserve"> </v>
      </c>
      <c r="D1160" s="410"/>
      <c r="E1160" s="358" t="str">
        <f>VLOOKUP($B1160,DG!A:D,DG!$C$2,)</f>
        <v>Cáp nhôm lõi thép AC-185/29</v>
      </c>
      <c r="F1160" s="594" t="str">
        <f>VLOOKUP($B1160,DG!A:D,DG!$D$2,)</f>
        <v>kg</v>
      </c>
      <c r="G1160" s="595">
        <f>ROUND(D1160*1.02*0.728,2)</f>
        <v>0</v>
      </c>
      <c r="H1160" s="355">
        <f t="shared" ref="H1160:H1282" si="64">$G1160</f>
        <v>0</v>
      </c>
      <c r="I1160" s="355">
        <f>H1160+J1160-K1160</f>
        <v>0</v>
      </c>
      <c r="J1160" s="355"/>
      <c r="K1160" s="355"/>
      <c r="L1160" s="367"/>
      <c r="M1160" s="332"/>
      <c r="N1160" s="340"/>
      <c r="O1160" s="341"/>
    </row>
    <row r="1161" spans="1:15" ht="16.2">
      <c r="A1161" s="288"/>
      <c r="B1161" s="351" t="s">
        <v>937</v>
      </c>
      <c r="C1161" s="388" t="str">
        <f>IF(OR(I1161&lt;&gt;0,H1161&lt;&gt;0),"x"," ")</f>
        <v xml:space="preserve"> </v>
      </c>
      <c r="D1161" s="410"/>
      <c r="E1161" s="358" t="str">
        <f>VLOOKUP($B1161,DG!A:D,DG!$C$2,)</f>
        <v>Cáp nhôm lõi thép AC-150/24</v>
      </c>
      <c r="F1161" s="594" t="str">
        <f>VLOOKUP($B1161,DG!A:D,DG!$D$2,)</f>
        <v>kg</v>
      </c>
      <c r="G1161" s="595">
        <f>ROUND(D1161*1.02*0.599,2)</f>
        <v>0</v>
      </c>
      <c r="H1161" s="355">
        <f t="shared" si="64"/>
        <v>0</v>
      </c>
      <c r="I1161" s="355">
        <f>H1161+J1161-K1161</f>
        <v>0</v>
      </c>
      <c r="J1161" s="355"/>
      <c r="K1161" s="355"/>
      <c r="L1161" s="367"/>
      <c r="M1161" s="332"/>
      <c r="N1161" s="340"/>
      <c r="O1161" s="341"/>
    </row>
    <row r="1162" spans="1:15" ht="16.2">
      <c r="A1162" s="288"/>
      <c r="B1162" s="351" t="s">
        <v>938</v>
      </c>
      <c r="C1162" s="388" t="str">
        <f>IF(OR(I1162&lt;&gt;0,H1162&lt;&gt;0),"x"," ")</f>
        <v xml:space="preserve"> </v>
      </c>
      <c r="D1162" s="410"/>
      <c r="E1162" s="358" t="str">
        <f>VLOOKUP($B1162,DG!A:D,DG!$C$2,)</f>
        <v>Cáp nhôm lõi thép AC-120/19</v>
      </c>
      <c r="F1162" s="594" t="str">
        <f>VLOOKUP($B1162,DG!A:D,DG!$D$2,)</f>
        <v>kg</v>
      </c>
      <c r="G1162" s="595">
        <f>ROUND(D1162*1.02*0.471,2)</f>
        <v>0</v>
      </c>
      <c r="H1162" s="355">
        <f t="shared" si="64"/>
        <v>0</v>
      </c>
      <c r="I1162" s="355">
        <f>H1162+J1162-K1162</f>
        <v>0</v>
      </c>
      <c r="J1162" s="355"/>
      <c r="K1162" s="355"/>
      <c r="L1162" s="367"/>
      <c r="M1162" s="332"/>
      <c r="N1162" s="340"/>
      <c r="O1162" s="341"/>
    </row>
    <row r="1163" spans="1:15" ht="16.2">
      <c r="A1163" s="288"/>
      <c r="B1163" s="351" t="s">
        <v>939</v>
      </c>
      <c r="C1163" s="388" t="str">
        <f>IF(OR(I1163&lt;&gt;0,H1163&lt;&gt;0),"x"," ")</f>
        <v xml:space="preserve"> </v>
      </c>
      <c r="D1163" s="410"/>
      <c r="E1163" s="358" t="str">
        <f>VLOOKUP($B1163,DG!A:D,DG!$C$2,)</f>
        <v>Cáp nhôm lõi thép AC-95/16</v>
      </c>
      <c r="F1163" s="594" t="str">
        <f>VLOOKUP($B1163,DG!A:D,DG!$D$2,)</f>
        <v>kg</v>
      </c>
      <c r="G1163" s="595">
        <f>ROUND(D1163*1.02*0.385,2)</f>
        <v>0</v>
      </c>
      <c r="H1163" s="355">
        <f t="shared" si="64"/>
        <v>0</v>
      </c>
      <c r="I1163" s="355">
        <f>H1163+J1163-K1163</f>
        <v>0</v>
      </c>
      <c r="J1163" s="355"/>
      <c r="K1163" s="355"/>
      <c r="L1163" s="367"/>
      <c r="M1163" s="332"/>
      <c r="N1163" s="340"/>
      <c r="O1163" s="341"/>
    </row>
    <row r="1164" spans="1:15" ht="16.2">
      <c r="A1164" s="288"/>
      <c r="B1164" s="351" t="s">
        <v>940</v>
      </c>
      <c r="C1164" s="388" t="str">
        <f>IF(OR(I1164&lt;&gt;0,H1164&lt;&gt;0),"x"," ")</f>
        <v xml:space="preserve"> </v>
      </c>
      <c r="D1164" s="410"/>
      <c r="E1164" s="358" t="str">
        <f>VLOOKUP($B1164,DG!A:D,DG!$C$2,)</f>
        <v>Cáp nhôm lõi thép AC-70/11</v>
      </c>
      <c r="F1164" s="594" t="str">
        <f>VLOOKUP($B1164,DG!A:D,DG!$D$2,)</f>
        <v>kg</v>
      </c>
      <c r="G1164" s="595">
        <f>ROUND(D1164*1.02*0.276,2)</f>
        <v>0</v>
      </c>
      <c r="H1164" s="355">
        <f t="shared" si="64"/>
        <v>0</v>
      </c>
      <c r="I1164" s="355">
        <f>H1164+J1164-K1164</f>
        <v>0</v>
      </c>
      <c r="J1164" s="355"/>
      <c r="K1164" s="355"/>
      <c r="L1164" s="367"/>
      <c r="M1164" s="332"/>
      <c r="N1164" s="340"/>
      <c r="O1164" s="341"/>
    </row>
    <row r="1165" spans="1:15" ht="16.2">
      <c r="B1165" s="336" t="s">
        <v>941</v>
      </c>
      <c r="C1165" s="388" t="str">
        <f>IF(OR(I1165&lt;&gt;0,H1165&lt;&gt;0),"x"," ")</f>
        <v xml:space="preserve"> </v>
      </c>
      <c r="D1165" s="427">
        <f>[3]pp3p1m!B111</f>
        <v>0</v>
      </c>
      <c r="E1165" s="358" t="str">
        <f>VLOOKUP($B1165,DG!A:D,DG!$C$2,)</f>
        <v>Cáp nhôm lõi thép AC-50/8</v>
      </c>
      <c r="F1165" s="594" t="str">
        <f>VLOOKUP($B1165,DG!A:D,DG!$D$2,)</f>
        <v>kg</v>
      </c>
      <c r="G1165" s="595">
        <f>ROUND(D1165*1.02*0.195,2)</f>
        <v>0</v>
      </c>
      <c r="H1165" s="355">
        <f t="shared" si="64"/>
        <v>0</v>
      </c>
      <c r="I1165" s="355">
        <f>H1165+J1165-K1165</f>
        <v>0</v>
      </c>
      <c r="J1165" s="355"/>
      <c r="K1165" s="355"/>
      <c r="L1165" s="367"/>
      <c r="M1165" s="340"/>
      <c r="N1165" s="340"/>
      <c r="O1165" s="341"/>
    </row>
    <row r="1166" spans="1:15" ht="16.2">
      <c r="B1166" s="336" t="s">
        <v>942</v>
      </c>
      <c r="C1166" s="388" t="str">
        <f>IF(OR(I1166&lt;&gt;0,H1166&lt;&gt;0),"x"," ")</f>
        <v xml:space="preserve"> </v>
      </c>
      <c r="D1166" s="427">
        <f>[3]pp3p1m!B111*3</f>
        <v>0</v>
      </c>
      <c r="E1166" s="358" t="str">
        <f>VLOOKUP($B1166,DG!A:D,DG!$C$2,)</f>
        <v>Cáp 24KV AS/XLPE/PVC 50 mm2</v>
      </c>
      <c r="F1166" s="594" t="str">
        <f>VLOOKUP($B1166,DG!A:D,DG!$D$2,)</f>
        <v>mét</v>
      </c>
      <c r="G1166" s="595">
        <f>ROUND(D1166*1.02,2)</f>
        <v>0</v>
      </c>
      <c r="H1166" s="355">
        <f t="shared" si="64"/>
        <v>0</v>
      </c>
      <c r="I1166" s="355">
        <f>H1166+J1166-K1166</f>
        <v>0</v>
      </c>
      <c r="J1166" s="355"/>
      <c r="K1166" s="355"/>
      <c r="L1166" s="367"/>
      <c r="M1166" s="340"/>
      <c r="N1166" s="340"/>
      <c r="O1166" s="341"/>
    </row>
    <row r="1167" spans="1:15" ht="16.2">
      <c r="A1167" s="288"/>
      <c r="B1167" s="351" t="s">
        <v>943</v>
      </c>
      <c r="C1167" s="388" t="str">
        <f>IF(OR(I1167&lt;&gt;0,H1167&lt;&gt;0),"x"," ")</f>
        <v xml:space="preserve"> </v>
      </c>
      <c r="D1167" s="410"/>
      <c r="E1167" s="358" t="str">
        <f>VLOOKUP($B1167,DG!A:D,DG!$C$2,)</f>
        <v>Cáp 24KV A/XLPE/PVC 240mm2</v>
      </c>
      <c r="F1167" s="594" t="str">
        <f>VLOOKUP($B1167,DG!A:D,DG!$D$2,)</f>
        <v>mét</v>
      </c>
      <c r="G1167" s="595">
        <f t="shared" ref="G1167:G1175" si="65">ROUND(D1167*1.02,2)</f>
        <v>0</v>
      </c>
      <c r="H1167" s="355">
        <f t="shared" si="64"/>
        <v>0</v>
      </c>
      <c r="I1167" s="355">
        <f>H1167+J1167-K1167</f>
        <v>0</v>
      </c>
      <c r="J1167" s="355"/>
      <c r="K1167" s="355"/>
      <c r="L1167" s="367"/>
      <c r="M1167" s="332"/>
      <c r="N1167" s="340"/>
      <c r="O1167" s="341"/>
    </row>
    <row r="1168" spans="1:15" ht="16.2">
      <c r="A1168" s="288"/>
      <c r="B1168" s="351" t="s">
        <v>944</v>
      </c>
      <c r="C1168" s="388" t="str">
        <f>IF(OR(I1168&lt;&gt;0,H1168&lt;&gt;0),"x"," ")</f>
        <v xml:space="preserve"> </v>
      </c>
      <c r="D1168" s="410"/>
      <c r="E1168" s="358" t="str">
        <f>VLOOKUP($B1168,DG!A:D,DG!$C$2,)</f>
        <v>Cáp 24KV A/XLPE/PVC 185mm2</v>
      </c>
      <c r="F1168" s="594" t="str">
        <f>VLOOKUP($B1168,DG!A:D,DG!$D$2,)</f>
        <v>mét</v>
      </c>
      <c r="G1168" s="595">
        <f t="shared" si="65"/>
        <v>0</v>
      </c>
      <c r="H1168" s="355">
        <f t="shared" si="64"/>
        <v>0</v>
      </c>
      <c r="I1168" s="355">
        <f>H1168+J1168-K1168</f>
        <v>0</v>
      </c>
      <c r="J1168" s="355"/>
      <c r="K1168" s="355"/>
      <c r="L1168" s="367"/>
      <c r="M1168" s="332"/>
      <c r="N1168" s="340"/>
      <c r="O1168" s="341"/>
    </row>
    <row r="1169" spans="1:15" ht="16.2">
      <c r="A1169" s="288"/>
      <c r="B1169" s="351" t="s">
        <v>945</v>
      </c>
      <c r="C1169" s="388" t="str">
        <f>IF(OR(I1169&lt;&gt;0,H1169&lt;&gt;0),"x"," ")</f>
        <v xml:space="preserve"> </v>
      </c>
      <c r="D1169" s="410"/>
      <c r="E1169" s="358" t="str">
        <f>VLOOKUP($B1169,DG!A:D,DG!$C$2,)</f>
        <v>Cáp 24KV A/XLPE/PVC 150mm2</v>
      </c>
      <c r="F1169" s="594" t="str">
        <f>VLOOKUP($B1169,DG!A:D,DG!$D$2,)</f>
        <v>mét</v>
      </c>
      <c r="G1169" s="595">
        <f t="shared" si="65"/>
        <v>0</v>
      </c>
      <c r="H1169" s="355">
        <f>$G1169</f>
        <v>0</v>
      </c>
      <c r="I1169" s="355">
        <f>H1169+J1169-K1169</f>
        <v>0</v>
      </c>
      <c r="J1169" s="355"/>
      <c r="K1169" s="355"/>
      <c r="L1169" s="367"/>
      <c r="M1169" s="332"/>
      <c r="N1169" s="340"/>
      <c r="O1169" s="341"/>
    </row>
    <row r="1170" spans="1:15" ht="16.2">
      <c r="A1170" s="288"/>
      <c r="B1170" s="351" t="s">
        <v>946</v>
      </c>
      <c r="C1170" s="388" t="str">
        <f>IF(OR(I1170&lt;&gt;0,H1170&lt;&gt;0),"x"," ")</f>
        <v xml:space="preserve"> </v>
      </c>
      <c r="D1170" s="410"/>
      <c r="E1170" s="358" t="str">
        <f>VLOOKUP($B1170,DG!A:D,DG!$C$2,)</f>
        <v>Cáp 24KV A/XLPE/PVC 120mm2</v>
      </c>
      <c r="F1170" s="594" t="str">
        <f>VLOOKUP($B1170,DG!A:D,DG!$D$2,)</f>
        <v>mét</v>
      </c>
      <c r="G1170" s="595">
        <f t="shared" si="65"/>
        <v>0</v>
      </c>
      <c r="H1170" s="355">
        <f t="shared" si="64"/>
        <v>0</v>
      </c>
      <c r="I1170" s="355">
        <f>H1170+J1170-K1170</f>
        <v>0</v>
      </c>
      <c r="J1170" s="355"/>
      <c r="K1170" s="355"/>
      <c r="L1170" s="367"/>
      <c r="M1170" s="332"/>
      <c r="N1170" s="340"/>
      <c r="O1170" s="341"/>
    </row>
    <row r="1171" spans="1:15" ht="16.2">
      <c r="A1171" s="288"/>
      <c r="B1171" s="351" t="s">
        <v>947</v>
      </c>
      <c r="C1171" s="388" t="str">
        <f>IF(OR(I1171&lt;&gt;0,H1171&lt;&gt;0),"x"," ")</f>
        <v xml:space="preserve"> </v>
      </c>
      <c r="D1171" s="410"/>
      <c r="E1171" s="358" t="str">
        <f>VLOOKUP($B1171,DG!A:D,DG!$C$2,)</f>
        <v>Cáp 24KV A/XLPE/PVC 95mm2</v>
      </c>
      <c r="F1171" s="594" t="str">
        <f>VLOOKUP($B1171,DG!A:D,DG!$D$2,)</f>
        <v>mét</v>
      </c>
      <c r="G1171" s="595">
        <f t="shared" si="65"/>
        <v>0</v>
      </c>
      <c r="H1171" s="355">
        <f t="shared" si="64"/>
        <v>0</v>
      </c>
      <c r="I1171" s="355">
        <f>H1171+J1171-K1171</f>
        <v>0</v>
      </c>
      <c r="J1171" s="355"/>
      <c r="K1171" s="355"/>
      <c r="L1171" s="367"/>
      <c r="M1171" s="332"/>
      <c r="N1171" s="340"/>
      <c r="O1171" s="341"/>
    </row>
    <row r="1172" spans="1:15" ht="16.2">
      <c r="A1172" s="288"/>
      <c r="B1172" s="351" t="s">
        <v>948</v>
      </c>
      <c r="C1172" s="388" t="str">
        <f>IF(OR(I1172&lt;&gt;0,H1172&lt;&gt;0),"x"," ")</f>
        <v xml:space="preserve"> </v>
      </c>
      <c r="D1172" s="410"/>
      <c r="E1172" s="358" t="str">
        <f>VLOOKUP($B1172,DG!A:D,DG!$C$2,)</f>
        <v>Cáp 24KV A/XLPE/PVC 70mm2</v>
      </c>
      <c r="F1172" s="594" t="str">
        <f>VLOOKUP($B1172,DG!A:D,DG!$D$2,)</f>
        <v>mét</v>
      </c>
      <c r="G1172" s="595">
        <f t="shared" si="65"/>
        <v>0</v>
      </c>
      <c r="H1172" s="355">
        <f t="shared" si="64"/>
        <v>0</v>
      </c>
      <c r="I1172" s="355">
        <f>H1172+J1172-K1172</f>
        <v>0</v>
      </c>
      <c r="J1172" s="355"/>
      <c r="K1172" s="355"/>
      <c r="L1172" s="367"/>
      <c r="M1172" s="332"/>
      <c r="N1172" s="340"/>
      <c r="O1172" s="341"/>
    </row>
    <row r="1173" spans="1:15" ht="16.2">
      <c r="A1173" s="288"/>
      <c r="B1173" s="351" t="s">
        <v>1079</v>
      </c>
      <c r="C1173" s="388" t="str">
        <f>IF(OR(I1173&lt;&gt;0,H1173&lt;&gt;0),"x"," ")</f>
        <v xml:space="preserve"> </v>
      </c>
      <c r="D1173" s="410"/>
      <c r="E1173" s="358" t="str">
        <f>VLOOKUP($B1173,DG!A:D,DG!$C$2,)</f>
        <v>Cáp 24KV A/XLPE/PVC 50mm2</v>
      </c>
      <c r="F1173" s="594" t="str">
        <f>VLOOKUP($B1173,DG!A:D,DG!$D$2,)</f>
        <v>mét</v>
      </c>
      <c r="G1173" s="595">
        <f t="shared" si="65"/>
        <v>0</v>
      </c>
      <c r="H1173" s="355">
        <f t="shared" si="64"/>
        <v>0</v>
      </c>
      <c r="I1173" s="355">
        <f>H1173+J1173-K1173</f>
        <v>0</v>
      </c>
      <c r="J1173" s="355"/>
      <c r="K1173" s="355"/>
      <c r="L1173" s="367"/>
      <c r="M1173" s="332"/>
      <c r="N1173" s="340"/>
      <c r="O1173" s="341"/>
    </row>
    <row r="1174" spans="1:15" ht="16.2">
      <c r="A1174" s="288"/>
      <c r="B1174" s="428" t="s">
        <v>1079</v>
      </c>
      <c r="C1174" s="388" t="str">
        <f>IF(OR(I1174&lt;&gt;0,H1174&lt;&gt;0),"x"," ")</f>
        <v xml:space="preserve"> </v>
      </c>
      <c r="D1174" s="429"/>
      <c r="E1174" s="358" t="str">
        <f>VLOOKUP($B1174,DG!A:D,DG!$C$2,)</f>
        <v>Cáp 24KV A/XLPE/PVC 50mm2</v>
      </c>
      <c r="F1174" s="594" t="s">
        <v>411</v>
      </c>
      <c r="G1174" s="595">
        <f t="shared" si="65"/>
        <v>0</v>
      </c>
      <c r="H1174" s="355">
        <f t="shared" si="64"/>
        <v>0</v>
      </c>
      <c r="I1174" s="355">
        <f>H1174+J1174-K1174</f>
        <v>0</v>
      </c>
      <c r="J1174" s="355"/>
      <c r="K1174" s="355"/>
      <c r="L1174" s="367"/>
      <c r="M1174" s="332"/>
      <c r="N1174" s="340"/>
      <c r="O1174" s="341"/>
    </row>
    <row r="1175" spans="1:15" ht="16.2">
      <c r="A1175" s="288"/>
      <c r="B1175" s="351" t="s">
        <v>1080</v>
      </c>
      <c r="C1175" s="388" t="str">
        <f>IF(OR(I1175&lt;&gt;0,H1175&lt;&gt;0),"x"," ")</f>
        <v xml:space="preserve"> </v>
      </c>
      <c r="D1175" s="410"/>
      <c r="E1175" s="358" t="str">
        <f>VLOOKUP($B1175,DG!A:D,DG!$C$2,)</f>
        <v>Cáp 24KV C/XLPE/PVC 50mm2</v>
      </c>
      <c r="F1175" s="594" t="s">
        <v>411</v>
      </c>
      <c r="G1175" s="595">
        <f t="shared" si="65"/>
        <v>0</v>
      </c>
      <c r="H1175" s="355">
        <f t="shared" si="64"/>
        <v>0</v>
      </c>
      <c r="I1175" s="355">
        <f>H1175+J1175-K1175</f>
        <v>0</v>
      </c>
      <c r="J1175" s="355"/>
      <c r="K1175" s="355"/>
      <c r="L1175" s="367"/>
      <c r="M1175" s="332"/>
      <c r="N1175" s="340"/>
      <c r="O1175" s="341"/>
    </row>
    <row r="1176" spans="1:15" ht="16.2">
      <c r="A1176" s="288"/>
      <c r="B1176" s="351" t="s">
        <v>637</v>
      </c>
      <c r="C1176" s="388" t="str">
        <f>IF(OR(I1176&lt;&gt;0,H1176&lt;&gt;0),"x"," ")</f>
        <v xml:space="preserve"> </v>
      </c>
      <c r="D1176" s="429"/>
      <c r="E1176" s="358" t="str">
        <f>VLOOKUP($B1176,DG!A:D,DG!$C$2,)</f>
        <v>Cáp đồng trần M25mm2</v>
      </c>
      <c r="F1176" s="594" t="str">
        <f>VLOOKUP($B1176,DG!A:D,DG!$D$2,)</f>
        <v>kg</v>
      </c>
      <c r="G1176" s="595">
        <f>ROUND(D1176*1.02*0.224,2)</f>
        <v>0</v>
      </c>
      <c r="H1176" s="355">
        <f t="shared" si="64"/>
        <v>0</v>
      </c>
      <c r="I1176" s="355">
        <f>H1176+J1176-K1176</f>
        <v>0</v>
      </c>
      <c r="J1176" s="355"/>
      <c r="K1176" s="355"/>
      <c r="L1176" s="367"/>
      <c r="M1176" s="332"/>
      <c r="N1176" s="340"/>
      <c r="O1176" s="341"/>
    </row>
    <row r="1177" spans="1:15" ht="16.2">
      <c r="A1177" s="288"/>
      <c r="B1177" s="351" t="s">
        <v>1081</v>
      </c>
      <c r="C1177" s="388" t="str">
        <f>IF(OR(I1177&lt;&gt;0,H1177&lt;&gt;0),"x"," ")</f>
        <v xml:space="preserve"> </v>
      </c>
      <c r="D1177" s="427"/>
      <c r="E1177" s="358" t="str">
        <f>VLOOKUP($B1177,DG!A:D,DG!$C$2,)</f>
        <v>Cáp đồng trần M38mm2</v>
      </c>
      <c r="F1177" s="594" t="str">
        <f>VLOOKUP($B1177,DG!A:D,DG!$D$2,)</f>
        <v>kg</v>
      </c>
      <c r="G1177" s="595">
        <f>ROUND(D1177*1.02*0.224,2)</f>
        <v>0</v>
      </c>
      <c r="H1177" s="355">
        <f t="shared" si="64"/>
        <v>0</v>
      </c>
      <c r="I1177" s="355">
        <f>H1177+J1177-K1177</f>
        <v>0</v>
      </c>
      <c r="J1177" s="355"/>
      <c r="K1177" s="355"/>
      <c r="L1177" s="367"/>
      <c r="M1177" s="332"/>
      <c r="N1177" s="340"/>
      <c r="O1177" s="341"/>
    </row>
    <row r="1178" spans="1:15" ht="16.2">
      <c r="B1178" s="414" t="s">
        <v>949</v>
      </c>
      <c r="C1178" s="388" t="str">
        <f>IF(OR(I1178&lt;&gt;0,H1178&lt;&gt;0),"x"," ")</f>
        <v>x</v>
      </c>
      <c r="D1178" s="338"/>
      <c r="E1178" s="412" t="s">
        <v>1082</v>
      </c>
      <c r="F1178" s="593" t="s">
        <v>775</v>
      </c>
      <c r="G1178" s="349">
        <f>[3]pp3p1m!EG111-M1178</f>
        <v>0</v>
      </c>
      <c r="H1178" s="349">
        <f>IFERROR(HLOOKUP(B1178,'BKT-ThuHoi'!$5:$183,179,0),0)</f>
        <v>86</v>
      </c>
      <c r="I1178" s="350">
        <f>H1178+J1178-K1178</f>
        <v>86</v>
      </c>
      <c r="J1178" s="350"/>
      <c r="K1178" s="350"/>
      <c r="L1178" s="348"/>
      <c r="M1178" s="340"/>
      <c r="N1178" s="340"/>
      <c r="O1178" s="341"/>
    </row>
    <row r="1179" spans="1:15" ht="16.2">
      <c r="B1179" s="336" t="s">
        <v>951</v>
      </c>
      <c r="C1179" s="388" t="str">
        <f>IF(OR(I1179&lt;&gt;0,H1179&lt;&gt;0),"x"," ")</f>
        <v xml:space="preserve"> </v>
      </c>
      <c r="D1179" s="338"/>
      <c r="E1179" s="358" t="str">
        <f>VLOOKUP($B1179,DG!A:D,DG!$C$2,)</f>
        <v>Uclevis</v>
      </c>
      <c r="F1179" s="594" t="str">
        <f>VLOOKUP($B1179,DG!A:D,DG!$D$2,)</f>
        <v>bộ</v>
      </c>
      <c r="G1179" s="595">
        <f>G1178</f>
        <v>0</v>
      </c>
      <c r="H1179" s="355">
        <f t="shared" si="64"/>
        <v>0</v>
      </c>
      <c r="I1179" s="355">
        <f>H1179+J1179-K1179</f>
        <v>0</v>
      </c>
      <c r="J1179" s="355"/>
      <c r="K1179" s="355"/>
      <c r="L1179" s="367"/>
      <c r="M1179" s="340"/>
      <c r="N1179" s="340"/>
      <c r="O1179" s="341"/>
    </row>
    <row r="1180" spans="1:15" ht="16.2">
      <c r="B1180" s="336" t="s">
        <v>717</v>
      </c>
      <c r="C1180" s="388" t="str">
        <f>IF(OR(I1180&lt;&gt;0,H1180&lt;&gt;0),"x"," ")</f>
        <v xml:space="preserve"> </v>
      </c>
      <c r="D1180" s="338"/>
      <c r="E1180" s="358" t="str">
        <f>VLOOKUP($B1180,DG!A:D,DG!$C$2,)</f>
        <v>Boulon 16x300</v>
      </c>
      <c r="F1180" s="594" t="str">
        <f>VLOOKUP($B1180,DG!A:D,DG!$D$2,)</f>
        <v>bộ</v>
      </c>
      <c r="G1180" s="595">
        <f>G1178</f>
        <v>0</v>
      </c>
      <c r="H1180" s="355">
        <f t="shared" si="64"/>
        <v>0</v>
      </c>
      <c r="I1180" s="355">
        <f>H1180+J1180-K1180</f>
        <v>0</v>
      </c>
      <c r="J1180" s="355"/>
      <c r="K1180" s="355"/>
      <c r="L1180" s="367"/>
      <c r="M1180" s="340"/>
      <c r="N1180" s="340"/>
      <c r="O1180" s="341"/>
    </row>
    <row r="1181" spans="1:15" ht="16.2">
      <c r="A1181" s="288"/>
      <c r="B1181" s="411" t="s">
        <v>1083</v>
      </c>
      <c r="C1181" s="388" t="str">
        <f>IF(OR(I1181&lt;&gt;0,H1181&lt;&gt;0),"x"," ")</f>
        <v xml:space="preserve"> </v>
      </c>
      <c r="D1181" s="338"/>
      <c r="E1181" s="412" t="s">
        <v>1084</v>
      </c>
      <c r="F1181" s="593" t="s">
        <v>775</v>
      </c>
      <c r="G1181" s="349"/>
      <c r="H1181" s="349">
        <f>IFERROR(HLOOKUP(B1181,'BKT-ThuHoi'!$5:$183,179,0),0)</f>
        <v>0</v>
      </c>
      <c r="I1181" s="350">
        <f>H1181+J1181-K1181</f>
        <v>0</v>
      </c>
      <c r="J1181" s="350"/>
      <c r="K1181" s="350"/>
      <c r="L1181" s="348"/>
      <c r="M1181" s="332"/>
      <c r="N1181" s="340"/>
      <c r="O1181" s="341"/>
    </row>
    <row r="1182" spans="1:15" ht="16.2">
      <c r="A1182" s="288"/>
      <c r="B1182" s="351" t="s">
        <v>951</v>
      </c>
      <c r="C1182" s="388" t="str">
        <f>IF(OR(I1182&lt;&gt;0,H1182&lt;&gt;0),"x"," ")</f>
        <v xml:space="preserve"> </v>
      </c>
      <c r="D1182" s="338"/>
      <c r="E1182" s="358" t="str">
        <f>VLOOKUP($B1182,DG!A:D,DG!$C$2,)</f>
        <v>Uclevis</v>
      </c>
      <c r="F1182" s="594" t="str">
        <f>VLOOKUP($B1182,DG!A:D,DG!$D$2,)</f>
        <v>bộ</v>
      </c>
      <c r="G1182" s="595">
        <f>G1181</f>
        <v>0</v>
      </c>
      <c r="H1182" s="355">
        <f t="shared" si="64"/>
        <v>0</v>
      </c>
      <c r="I1182" s="355">
        <f>H1182+J1182-K1182</f>
        <v>0</v>
      </c>
      <c r="J1182" s="355"/>
      <c r="K1182" s="355"/>
      <c r="L1182" s="367"/>
      <c r="M1182" s="332"/>
      <c r="N1182" s="340"/>
      <c r="O1182" s="341"/>
    </row>
    <row r="1183" spans="1:15" ht="16.2">
      <c r="A1183" s="288"/>
      <c r="B1183" s="351" t="s">
        <v>1085</v>
      </c>
      <c r="C1183" s="388" t="str">
        <f>IF(OR(I1183&lt;&gt;0,H1183&lt;&gt;0),"x"," ")</f>
        <v xml:space="preserve"> </v>
      </c>
      <c r="D1183" s="338"/>
      <c r="E1183" s="358" t="str">
        <f>VLOOKUP($B1183,DG!A:D,DG!$C$2,)</f>
        <v>Boulon 16x600VRS+ 4 long đền vuông D18-50x50x3/Zn</v>
      </c>
      <c r="F1183" s="594" t="str">
        <f>VLOOKUP($B1183,DG!A:D,DG!$D$2,)</f>
        <v>bộ</v>
      </c>
      <c r="G1183" s="595">
        <f>G1181</f>
        <v>0</v>
      </c>
      <c r="H1183" s="355">
        <f t="shared" si="64"/>
        <v>0</v>
      </c>
      <c r="I1183" s="355">
        <f>H1183+J1183-K1183</f>
        <v>0</v>
      </c>
      <c r="J1183" s="355"/>
      <c r="K1183" s="355"/>
      <c r="L1183" s="367"/>
      <c r="M1183" s="332"/>
      <c r="N1183" s="340"/>
      <c r="O1183" s="341"/>
    </row>
    <row r="1184" spans="1:15" ht="16.2">
      <c r="A1184" s="288"/>
      <c r="B1184" s="411" t="s">
        <v>1086</v>
      </c>
      <c r="C1184" s="388" t="str">
        <f>IF(OR(I1184&lt;&gt;0,H1184&lt;&gt;0),"x"," ")</f>
        <v xml:space="preserve"> </v>
      </c>
      <c r="D1184" s="338"/>
      <c r="E1184" s="412" t="s">
        <v>1087</v>
      </c>
      <c r="F1184" s="593" t="s">
        <v>775</v>
      </c>
      <c r="G1184" s="349"/>
      <c r="H1184" s="349">
        <f>IFERROR(HLOOKUP(B1184,'BKT-ThuHoi'!$5:$183,179,0),0)</f>
        <v>0</v>
      </c>
      <c r="I1184" s="350">
        <f>H1184+J1184-K1184</f>
        <v>0</v>
      </c>
      <c r="J1184" s="350"/>
      <c r="K1184" s="350"/>
      <c r="L1184" s="348"/>
      <c r="M1184" s="332"/>
      <c r="N1184" s="340"/>
      <c r="O1184" s="341"/>
    </row>
    <row r="1185" spans="1:15" ht="16.2">
      <c r="A1185" s="288"/>
      <c r="B1185" s="351" t="s">
        <v>951</v>
      </c>
      <c r="C1185" s="388" t="str">
        <f>IF(OR(I1185&lt;&gt;0,H1185&lt;&gt;0),"x"," ")</f>
        <v xml:space="preserve"> </v>
      </c>
      <c r="D1185" s="338"/>
      <c r="E1185" s="358" t="str">
        <f>VLOOKUP($B1185,DG!A:D,DG!$C$2,)</f>
        <v>Uclevis</v>
      </c>
      <c r="F1185" s="594" t="str">
        <f>VLOOKUP($B1185,DG!A:D,DG!$D$2,)</f>
        <v>bộ</v>
      </c>
      <c r="G1185" s="595">
        <f>G1184</f>
        <v>0</v>
      </c>
      <c r="H1185" s="355">
        <f t="shared" si="64"/>
        <v>0</v>
      </c>
      <c r="I1185" s="355">
        <f>H1185+J1185-K1185</f>
        <v>0</v>
      </c>
      <c r="J1185" s="355"/>
      <c r="K1185" s="355"/>
      <c r="L1185" s="367"/>
      <c r="M1185" s="332"/>
      <c r="N1185" s="340"/>
      <c r="O1185" s="341"/>
    </row>
    <row r="1186" spans="1:15" ht="16.2">
      <c r="A1186" s="288"/>
      <c r="B1186" s="351" t="s">
        <v>803</v>
      </c>
      <c r="C1186" s="388" t="str">
        <f>IF(OR(I1186&lt;&gt;0,H1186&lt;&gt;0),"x"," ")</f>
        <v xml:space="preserve"> </v>
      </c>
      <c r="D1186" s="338"/>
      <c r="E1186" s="358" t="str">
        <f>VLOOKUP($B1186,DG!A:D,DG!$C$2,)</f>
        <v>Boulon 16x100</v>
      </c>
      <c r="F1186" s="594" t="str">
        <f>VLOOKUP($B1186,DG!A:D,DG!$D$2,)</f>
        <v>bộ</v>
      </c>
      <c r="G1186" s="595">
        <f>G1184</f>
        <v>0</v>
      </c>
      <c r="H1186" s="355">
        <f t="shared" si="64"/>
        <v>0</v>
      </c>
      <c r="I1186" s="355">
        <f>H1186+J1186-K1186</f>
        <v>0</v>
      </c>
      <c r="J1186" s="355"/>
      <c r="K1186" s="355"/>
      <c r="L1186" s="367"/>
      <c r="M1186" s="332"/>
      <c r="N1186" s="340"/>
      <c r="O1186" s="341"/>
    </row>
    <row r="1187" spans="1:15" ht="16.2">
      <c r="A1187" s="288"/>
      <c r="B1187" s="411" t="s">
        <v>952</v>
      </c>
      <c r="C1187" s="388" t="str">
        <f>IF(OR(I1187&lt;&gt;0,H1187&lt;&gt;0),"x"," ")</f>
        <v xml:space="preserve"> </v>
      </c>
      <c r="D1187" s="338"/>
      <c r="E1187" s="412" t="s">
        <v>953</v>
      </c>
      <c r="F1187" s="593" t="s">
        <v>775</v>
      </c>
      <c r="G1187" s="349"/>
      <c r="H1187" s="349">
        <f>IFERROR(HLOOKUP(B1187,'BKT-ThuHoi'!$5:$183,179,0),0)</f>
        <v>0</v>
      </c>
      <c r="I1187" s="350">
        <f>H1187+J1187-K1187</f>
        <v>0</v>
      </c>
      <c r="J1187" s="350"/>
      <c r="K1187" s="350"/>
      <c r="L1187" s="348"/>
      <c r="M1187" s="332"/>
      <c r="N1187" s="340"/>
      <c r="O1187" s="341"/>
    </row>
    <row r="1188" spans="1:15" ht="16.2">
      <c r="A1188" s="288"/>
      <c r="B1188" s="351" t="s">
        <v>951</v>
      </c>
      <c r="C1188" s="388" t="str">
        <f>IF(OR(I1188&lt;&gt;0,H1188&lt;&gt;0),"x"," ")</f>
        <v xml:space="preserve"> </v>
      </c>
      <c r="D1188" s="338"/>
      <c r="E1188" s="358" t="str">
        <f>VLOOKUP($B1188,DG!A:D,DG!$C$2,)</f>
        <v>Uclevis</v>
      </c>
      <c r="F1188" s="594" t="str">
        <f>VLOOKUP($B1188,DG!A:D,DG!$D$2,)</f>
        <v>bộ</v>
      </c>
      <c r="G1188" s="595">
        <f>G1187</f>
        <v>0</v>
      </c>
      <c r="H1188" s="355">
        <f t="shared" si="64"/>
        <v>0</v>
      </c>
      <c r="I1188" s="355">
        <f>H1188+J1188-K1188</f>
        <v>0</v>
      </c>
      <c r="J1188" s="355"/>
      <c r="K1188" s="355"/>
      <c r="L1188" s="367"/>
      <c r="M1188" s="332"/>
      <c r="N1188" s="340"/>
      <c r="O1188" s="341"/>
    </row>
    <row r="1189" spans="1:15" ht="16.2">
      <c r="A1189" s="288"/>
      <c r="B1189" s="351" t="s">
        <v>717</v>
      </c>
      <c r="C1189" s="388" t="str">
        <f>IF(OR(I1189&lt;&gt;0,H1189&lt;&gt;0),"x"," ")</f>
        <v xml:space="preserve"> </v>
      </c>
      <c r="D1189" s="338"/>
      <c r="E1189" s="358" t="str">
        <f>VLOOKUP($B1189,DG!A:D,DG!$C$2,)</f>
        <v>Boulon 16x300</v>
      </c>
      <c r="F1189" s="594" t="str">
        <f>VLOOKUP($B1189,DG!A:D,DG!$D$2,)</f>
        <v>bộ</v>
      </c>
      <c r="G1189" s="595">
        <f>G1187</f>
        <v>0</v>
      </c>
      <c r="H1189" s="355">
        <f t="shared" si="64"/>
        <v>0</v>
      </c>
      <c r="I1189" s="355">
        <f>H1189+J1189-K1189</f>
        <v>0</v>
      </c>
      <c r="J1189" s="355"/>
      <c r="K1189" s="355"/>
      <c r="L1189" s="367"/>
      <c r="M1189" s="332"/>
      <c r="N1189" s="340"/>
      <c r="O1189" s="341"/>
    </row>
    <row r="1190" spans="1:15" ht="16.2">
      <c r="A1190" s="288"/>
      <c r="B1190" s="351" t="s">
        <v>645</v>
      </c>
      <c r="C1190" s="388" t="str">
        <f>IF(OR(I1190&lt;&gt;0,H1190&lt;&gt;0),"x"," ")</f>
        <v xml:space="preserve"> </v>
      </c>
      <c r="D1190" s="338"/>
      <c r="E1190" s="358" t="str">
        <f>VLOOKUP($B1190,DG!A:D,DG!$C$2,)</f>
        <v>Kẹp ép WR cỡ dây 50mm2</v>
      </c>
      <c r="F1190" s="594" t="str">
        <f>VLOOKUP($B1190,DG!A:D,DG!$D$2,)</f>
        <v>cái</v>
      </c>
      <c r="G1190" s="595">
        <f>G1187*2</f>
        <v>0</v>
      </c>
      <c r="H1190" s="355">
        <f t="shared" si="64"/>
        <v>0</v>
      </c>
      <c r="I1190" s="355">
        <f>H1190+J1190-K1190</f>
        <v>0</v>
      </c>
      <c r="J1190" s="355"/>
      <c r="K1190" s="355"/>
      <c r="L1190" s="367"/>
      <c r="M1190" s="332"/>
      <c r="N1190" s="340"/>
      <c r="O1190" s="341"/>
    </row>
    <row r="1191" spans="1:15" ht="16.2">
      <c r="B1191" s="414" t="s">
        <v>955</v>
      </c>
      <c r="C1191" s="388" t="str">
        <f>IF(OR(I1191&lt;&gt;0,H1191&lt;&gt;0),"x"," ")</f>
        <v xml:space="preserve"> </v>
      </c>
      <c r="D1191" s="338"/>
      <c r="E1191" s="412" t="s">
        <v>956</v>
      </c>
      <c r="F1191" s="593" t="s">
        <v>775</v>
      </c>
      <c r="G1191" s="349">
        <f>[3]pp3p1m!EN111</f>
        <v>0</v>
      </c>
      <c r="H1191" s="349">
        <f>IFERROR(HLOOKUP(B1191,'BKT-ThuHoi'!$5:$183,179,0),0)</f>
        <v>0</v>
      </c>
      <c r="I1191" s="350">
        <f>H1191+J1191-K1191</f>
        <v>0</v>
      </c>
      <c r="J1191" s="350"/>
      <c r="K1191" s="350"/>
      <c r="L1191" s="348"/>
      <c r="M1191" s="340"/>
      <c r="N1191" s="340"/>
      <c r="O1191" s="341"/>
    </row>
    <row r="1192" spans="1:15" ht="16.2">
      <c r="B1192" s="387" t="s">
        <v>957</v>
      </c>
      <c r="C1192" s="388" t="str">
        <f>IF(OR(I1192&lt;&gt;0,H1192&lt;&gt;0),"x"," ")</f>
        <v xml:space="preserve"> </v>
      </c>
      <c r="D1192" s="338"/>
      <c r="E1192" s="358" t="str">
        <f>VLOOKUP($B1192,DG!A:D,DG!$C$2,)</f>
        <v>Khóa néo dây cỡ dây 50</v>
      </c>
      <c r="F1192" s="594" t="str">
        <f>VLOOKUP($B1192,DG!A:D,DG!$D$2,)</f>
        <v>cái</v>
      </c>
      <c r="G1192" s="595">
        <f>G1191</f>
        <v>0</v>
      </c>
      <c r="H1192" s="355">
        <f t="shared" si="64"/>
        <v>0</v>
      </c>
      <c r="I1192" s="355">
        <f>H1192+J1192-K1192</f>
        <v>0</v>
      </c>
      <c r="J1192" s="355"/>
      <c r="K1192" s="355"/>
      <c r="L1192" s="367"/>
      <c r="M1192" s="340"/>
      <c r="N1192" s="340"/>
      <c r="O1192" s="341"/>
    </row>
    <row r="1193" spans="1:15" ht="16.2">
      <c r="B1193" s="336" t="s">
        <v>840</v>
      </c>
      <c r="C1193" s="388" t="str">
        <f>IF(OR(I1193&lt;&gt;0,H1193&lt;&gt;0),"x"," ")</f>
        <v xml:space="preserve"> </v>
      </c>
      <c r="D1193" s="338"/>
      <c r="E1193" s="358" t="str">
        <f>VLOOKUP($B1193,DG!A:D,DG!$C$2,)</f>
        <v>Boulon mắt 16x300</v>
      </c>
      <c r="F1193" s="594" t="str">
        <f>VLOOKUP($B1193,DG!A:D,DG!$D$2,)</f>
        <v>bộ</v>
      </c>
      <c r="G1193" s="595">
        <f>G1191</f>
        <v>0</v>
      </c>
      <c r="H1193" s="355">
        <f t="shared" si="64"/>
        <v>0</v>
      </c>
      <c r="I1193" s="355">
        <f>H1193+J1193-K1193</f>
        <v>0</v>
      </c>
      <c r="J1193" s="355"/>
      <c r="K1193" s="355"/>
      <c r="L1193" s="367"/>
      <c r="M1193" s="340"/>
      <c r="N1193" s="340"/>
      <c r="O1193" s="341"/>
    </row>
    <row r="1194" spans="1:15" ht="16.2">
      <c r="A1194" s="288"/>
      <c r="B1194" s="351" t="s">
        <v>645</v>
      </c>
      <c r="C1194" s="388" t="str">
        <f>IF(OR(I1194&lt;&gt;0,H1194&lt;&gt;0),"x"," ")</f>
        <v xml:space="preserve"> </v>
      </c>
      <c r="D1194" s="338"/>
      <c r="E1194" s="358" t="str">
        <f>VLOOKUP($B1194,DG!A:D,DG!$C$2,)</f>
        <v>Kẹp ép WR cỡ dây 50mm2</v>
      </c>
      <c r="F1194" s="594" t="str">
        <f>VLOOKUP($B1194,DG!A:D,DG!$D$2,)</f>
        <v>cái</v>
      </c>
      <c r="G1194" s="595">
        <f>G1191*0</f>
        <v>0</v>
      </c>
      <c r="H1194" s="355">
        <f t="shared" si="64"/>
        <v>0</v>
      </c>
      <c r="I1194" s="355">
        <f>H1194+J1194-K1194</f>
        <v>0</v>
      </c>
      <c r="J1194" s="355"/>
      <c r="K1194" s="355"/>
      <c r="L1194" s="367"/>
      <c r="M1194" s="332"/>
      <c r="N1194" s="340"/>
      <c r="O1194" s="341"/>
    </row>
    <row r="1195" spans="1:15" ht="16.2">
      <c r="A1195" s="288"/>
      <c r="B1195" s="411" t="s">
        <v>1088</v>
      </c>
      <c r="C1195" s="388" t="str">
        <f>IF(OR(I1195&lt;&gt;0,H1195&lt;&gt;0),"x"," ")</f>
        <v xml:space="preserve"> </v>
      </c>
      <c r="D1195" s="338"/>
      <c r="E1195" s="412" t="s">
        <v>1089</v>
      </c>
      <c r="F1195" s="593" t="s">
        <v>775</v>
      </c>
      <c r="G1195" s="349"/>
      <c r="H1195" s="349">
        <f>IFERROR(HLOOKUP(B1195,'BKT-ThuHoi'!$5:$183,179,0),0)</f>
        <v>0</v>
      </c>
      <c r="I1195" s="350">
        <f>H1195+J1195-K1195</f>
        <v>0</v>
      </c>
      <c r="J1195" s="350"/>
      <c r="K1195" s="350"/>
      <c r="L1195" s="348"/>
      <c r="M1195" s="332"/>
      <c r="N1195" s="340"/>
      <c r="O1195" s="341"/>
    </row>
    <row r="1196" spans="1:15" ht="16.2">
      <c r="A1196" s="288"/>
      <c r="B1196" s="413" t="s">
        <v>957</v>
      </c>
      <c r="C1196" s="388" t="str">
        <f>IF(OR(I1196&lt;&gt;0,H1196&lt;&gt;0),"x"," ")</f>
        <v xml:space="preserve"> </v>
      </c>
      <c r="D1196" s="338"/>
      <c r="E1196" s="358" t="str">
        <f>VLOOKUP($B1196,DG!A:D,DG!$C$2,)</f>
        <v>Khóa néo dây cỡ dây 50</v>
      </c>
      <c r="F1196" s="594" t="str">
        <f>VLOOKUP($B1196,DG!A:D,DG!$D$2,)</f>
        <v>cái</v>
      </c>
      <c r="G1196" s="595">
        <f>G1195</f>
        <v>0</v>
      </c>
      <c r="H1196" s="355">
        <f t="shared" si="64"/>
        <v>0</v>
      </c>
      <c r="I1196" s="355">
        <f>H1196+J1196-K1196</f>
        <v>0</v>
      </c>
      <c r="J1196" s="355"/>
      <c r="K1196" s="355"/>
      <c r="L1196" s="367"/>
      <c r="M1196" s="332"/>
      <c r="N1196" s="340"/>
      <c r="O1196" s="341"/>
    </row>
    <row r="1197" spans="1:15" ht="16.2">
      <c r="A1197" s="288"/>
      <c r="B1197" s="430" t="s">
        <v>1090</v>
      </c>
      <c r="C1197" s="388" t="str">
        <f>IF(OR(I1197&lt;&gt;0,H1197&lt;&gt;0),"x"," ")</f>
        <v xml:space="preserve"> </v>
      </c>
      <c r="D1197" s="338"/>
      <c r="E1197" s="358" t="str">
        <f>VLOOKUP($B1197,DG!A:D,DG!$C$2,)</f>
        <v xml:space="preserve">Boulon 16x500VRS + đai ốc mắt </v>
      </c>
      <c r="F1197" s="594" t="str">
        <f>VLOOKUP($B1197,DG!A:D,DG!$D$2,)</f>
        <v>bộ</v>
      </c>
      <c r="G1197" s="595">
        <f>G1195</f>
        <v>0</v>
      </c>
      <c r="H1197" s="355">
        <f t="shared" si="64"/>
        <v>0</v>
      </c>
      <c r="I1197" s="355">
        <f>H1197+J1197-K1197</f>
        <v>0</v>
      </c>
      <c r="J1197" s="355"/>
      <c r="K1197" s="355"/>
      <c r="L1197" s="367"/>
      <c r="M1197" s="332"/>
      <c r="N1197" s="340"/>
      <c r="O1197" s="341"/>
    </row>
    <row r="1198" spans="1:15" ht="16.2">
      <c r="A1198" s="288"/>
      <c r="B1198" s="351" t="s">
        <v>645</v>
      </c>
      <c r="C1198" s="388" t="str">
        <f>IF(OR(I1198&lt;&gt;0,H1198&lt;&gt;0),"x"," ")</f>
        <v xml:space="preserve"> </v>
      </c>
      <c r="D1198" s="338"/>
      <c r="E1198" s="358" t="str">
        <f>VLOOKUP($B1198,DG!A:D,DG!$C$2,)</f>
        <v>Kẹp ép WR cỡ dây 50mm2</v>
      </c>
      <c r="F1198" s="594" t="str">
        <f>VLOOKUP($B1198,DG!A:D,DG!$D$2,)</f>
        <v>cái</v>
      </c>
      <c r="G1198" s="595">
        <f>G1195*2</f>
        <v>0</v>
      </c>
      <c r="H1198" s="355">
        <f t="shared" si="64"/>
        <v>0</v>
      </c>
      <c r="I1198" s="355">
        <f>H1198+J1198-K1198</f>
        <v>0</v>
      </c>
      <c r="J1198" s="355"/>
      <c r="K1198" s="355"/>
      <c r="L1198" s="367"/>
      <c r="M1198" s="332"/>
      <c r="N1198" s="340"/>
      <c r="O1198" s="341"/>
    </row>
    <row r="1199" spans="1:15" ht="16.2">
      <c r="A1199" s="288"/>
      <c r="B1199" s="411" t="s">
        <v>959</v>
      </c>
      <c r="C1199" s="388" t="str">
        <f>IF(OR(I1199&lt;&gt;0,H1199&lt;&gt;0),"x"," ")</f>
        <v xml:space="preserve"> </v>
      </c>
      <c r="D1199" s="338"/>
      <c r="E1199" s="412" t="s">
        <v>1091</v>
      </c>
      <c r="F1199" s="593" t="s">
        <v>775</v>
      </c>
      <c r="G1199" s="349"/>
      <c r="H1199" s="349">
        <f>IFERROR(HLOOKUP(B1199,'BKT-ThuHoi'!$5:$183,179,0),0)</f>
        <v>0</v>
      </c>
      <c r="I1199" s="350">
        <f>H1199+J1199-K1199</f>
        <v>0</v>
      </c>
      <c r="J1199" s="350"/>
      <c r="K1199" s="350"/>
      <c r="L1199" s="348"/>
      <c r="M1199" s="332"/>
      <c r="N1199" s="340"/>
      <c r="O1199" s="341"/>
    </row>
    <row r="1200" spans="1:15" ht="16.2">
      <c r="A1200" s="288"/>
      <c r="B1200" s="413" t="s">
        <v>957</v>
      </c>
      <c r="C1200" s="388" t="str">
        <f>IF(OR(I1200&lt;&gt;0,H1200&lt;&gt;0),"x"," ")</f>
        <v xml:space="preserve"> </v>
      </c>
      <c r="D1200" s="338"/>
      <c r="E1200" s="358" t="str">
        <f>VLOOKUP($B1200,DG!A:D,DG!$C$2,)</f>
        <v>Khóa néo dây cỡ dây 50</v>
      </c>
      <c r="F1200" s="594" t="str">
        <f>VLOOKUP($B1200,DG!A:D,DG!$D$2,)</f>
        <v>cái</v>
      </c>
      <c r="G1200" s="595">
        <f>G1199</f>
        <v>0</v>
      </c>
      <c r="H1200" s="355">
        <f t="shared" si="64"/>
        <v>0</v>
      </c>
      <c r="I1200" s="355">
        <f>H1200+J1200-K1200</f>
        <v>0</v>
      </c>
      <c r="J1200" s="355"/>
      <c r="K1200" s="355"/>
      <c r="L1200" s="367"/>
      <c r="M1200" s="332"/>
      <c r="N1200" s="340"/>
      <c r="O1200" s="341"/>
    </row>
    <row r="1201" spans="1:15" ht="16.2">
      <c r="A1201" s="288"/>
      <c r="B1201" s="351" t="s">
        <v>958</v>
      </c>
      <c r="C1201" s="388" t="str">
        <f>IF(OR(I1201&lt;&gt;0,H1201&lt;&gt;0),"x"," ")</f>
        <v xml:space="preserve"> </v>
      </c>
      <c r="D1201" s="338"/>
      <c r="E1201" s="358" t="str">
        <f>VLOOKUP($B1201,DG!A:D,DG!$C$2,)</f>
        <v xml:space="preserve">Móc treo chữ U </v>
      </c>
      <c r="F1201" s="594" t="str">
        <f>VLOOKUP($B1201,DG!A:D,DG!$D$2,)</f>
        <v>cái</v>
      </c>
      <c r="G1201" s="595">
        <f>G1199*2</f>
        <v>0</v>
      </c>
      <c r="H1201" s="355">
        <f t="shared" si="64"/>
        <v>0</v>
      </c>
      <c r="I1201" s="355">
        <f>H1201+J1201-K1201</f>
        <v>0</v>
      </c>
      <c r="J1201" s="355"/>
      <c r="K1201" s="355"/>
      <c r="L1201" s="367"/>
      <c r="M1201" s="332"/>
      <c r="N1201" s="340"/>
      <c r="O1201" s="341"/>
    </row>
    <row r="1202" spans="1:15" ht="16.2">
      <c r="A1202" s="288"/>
      <c r="B1202" s="351" t="s">
        <v>624</v>
      </c>
      <c r="C1202" s="388" t="str">
        <f>IF(OR(I1202&lt;&gt;0,H1202&lt;&gt;0),"x"," ")</f>
        <v xml:space="preserve"> </v>
      </c>
      <c r="D1202" s="338"/>
      <c r="E1202" s="358" t="str">
        <f>VLOOKUP($B1202,DG!A:D,DG!$C$2,)</f>
        <v>Kẹp ép WR cỡ dây 50mm2</v>
      </c>
      <c r="F1202" s="594" t="str">
        <f>VLOOKUP($B1202,DG!A:D,DG!$D$2,)</f>
        <v>cái</v>
      </c>
      <c r="G1202" s="595">
        <f>G1199*2</f>
        <v>0</v>
      </c>
      <c r="H1202" s="355">
        <f t="shared" si="64"/>
        <v>0</v>
      </c>
      <c r="I1202" s="355">
        <f>H1202+J1202-K1202</f>
        <v>0</v>
      </c>
      <c r="J1202" s="355"/>
      <c r="K1202" s="355"/>
      <c r="L1202" s="367"/>
      <c r="M1202" s="332"/>
      <c r="N1202" s="340"/>
      <c r="O1202" s="341"/>
    </row>
    <row r="1203" spans="1:15" ht="16.2">
      <c r="B1203" s="414" t="s">
        <v>961</v>
      </c>
      <c r="C1203" s="388" t="str">
        <f>IF(OR(I1203&lt;&gt;0,H1203&lt;&gt;0),"x"," ")</f>
        <v>x</v>
      </c>
      <c r="D1203" s="338"/>
      <c r="E1203" s="412" t="s">
        <v>962</v>
      </c>
      <c r="F1203" s="593" t="s">
        <v>775</v>
      </c>
      <c r="G1203" s="349">
        <f>[3]pp3p1m!EB111-M1203</f>
        <v>0</v>
      </c>
      <c r="H1203" s="349">
        <f>IFERROR(HLOOKUP(B1203,'BKT-ThuHoi'!$5:$183,179,0),0)</f>
        <v>193</v>
      </c>
      <c r="I1203" s="350">
        <f>H1203+J1203-K1203</f>
        <v>193</v>
      </c>
      <c r="J1203" s="350"/>
      <c r="K1203" s="350"/>
      <c r="L1203" s="348"/>
      <c r="M1203" s="340"/>
      <c r="N1203" s="340"/>
      <c r="O1203" s="341"/>
    </row>
    <row r="1204" spans="1:15" ht="16.2">
      <c r="B1204" s="336" t="s">
        <v>963</v>
      </c>
      <c r="C1204" s="388" t="str">
        <f>IF(OR(I1204&lt;&gt;0,H1204&lt;&gt;0),"x"," ")</f>
        <v xml:space="preserve"> </v>
      </c>
      <c r="D1204" s="338"/>
      <c r="E1204" s="358" t="str">
        <f>VLOOKUP($B1204,DG!A:D,DG!$C$2,)</f>
        <v xml:space="preserve">Sứ đứng 24KV </v>
      </c>
      <c r="F1204" s="594" t="str">
        <f>VLOOKUP($B1204,DG!A:D,DG!$D$2,)</f>
        <v>cái</v>
      </c>
      <c r="G1204" s="595">
        <f>G1203</f>
        <v>0</v>
      </c>
      <c r="H1204" s="355">
        <f t="shared" si="64"/>
        <v>0</v>
      </c>
      <c r="I1204" s="355">
        <f>H1204+J1204-K1204</f>
        <v>0</v>
      </c>
      <c r="J1204" s="355"/>
      <c r="K1204" s="355"/>
      <c r="L1204" s="367"/>
      <c r="M1204" s="340"/>
      <c r="N1204" s="340"/>
      <c r="O1204" s="341"/>
    </row>
    <row r="1205" spans="1:15" ht="16.2">
      <c r="B1205" s="336" t="s">
        <v>964</v>
      </c>
      <c r="C1205" s="388" t="str">
        <f>IF(OR(I1205&lt;&gt;0,H1205&lt;&gt;0),"x"," ")</f>
        <v xml:space="preserve"> </v>
      </c>
      <c r="D1205" s="338"/>
      <c r="E1205" s="358" t="str">
        <f>VLOOKUP($B1205,DG!A:D,DG!$C$2,)</f>
        <v>Chân sứ đứng D20</v>
      </c>
      <c r="F1205" s="594" t="str">
        <f>VLOOKUP($B1205,DG!A:D,DG!$D$2,)</f>
        <v>cái</v>
      </c>
      <c r="G1205" s="595">
        <f>G1203</f>
        <v>0</v>
      </c>
      <c r="H1205" s="355">
        <f t="shared" si="64"/>
        <v>0</v>
      </c>
      <c r="I1205" s="355">
        <f>H1205+J1205-K1205</f>
        <v>0</v>
      </c>
      <c r="J1205" s="355"/>
      <c r="K1205" s="355"/>
      <c r="L1205" s="367"/>
      <c r="M1205" s="340"/>
      <c r="N1205" s="340"/>
      <c r="O1205" s="341"/>
    </row>
    <row r="1206" spans="1:15" ht="16.2">
      <c r="A1206" s="288"/>
      <c r="B1206" s="411" t="s">
        <v>965</v>
      </c>
      <c r="C1206" s="388" t="str">
        <f>IF(OR(I1206&lt;&gt;0,H1206&lt;&gt;0),"x"," ")</f>
        <v xml:space="preserve"> </v>
      </c>
      <c r="D1206" s="338"/>
      <c r="E1206" s="412" t="s">
        <v>966</v>
      </c>
      <c r="F1206" s="593" t="s">
        <v>775</v>
      </c>
      <c r="G1206" s="349">
        <f>[3]pp3p1m!DZ111</f>
        <v>0</v>
      </c>
      <c r="H1206" s="349">
        <f>IFERROR(HLOOKUP(B1206,'BKT-ThuHoi'!$5:$183,179,0),0)</f>
        <v>0</v>
      </c>
      <c r="I1206" s="350">
        <f>H1206+J1206-K1206</f>
        <v>0</v>
      </c>
      <c r="J1206" s="350"/>
      <c r="K1206" s="350"/>
      <c r="L1206" s="348"/>
      <c r="M1206" s="332"/>
      <c r="N1206" s="340"/>
      <c r="O1206" s="341"/>
    </row>
    <row r="1207" spans="1:15" ht="16.2">
      <c r="A1207" s="288"/>
      <c r="B1207" s="351" t="s">
        <v>963</v>
      </c>
      <c r="C1207" s="388" t="str">
        <f>IF(OR(I1207&lt;&gt;0,H1207&lt;&gt;0),"x"," ")</f>
        <v xml:space="preserve"> </v>
      </c>
      <c r="D1207" s="338"/>
      <c r="E1207" s="358" t="str">
        <f>VLOOKUP($B1207,DG!A:D,DG!$C$2,)</f>
        <v xml:space="preserve">Sứ đứng 24KV </v>
      </c>
      <c r="F1207" s="594" t="str">
        <f>VLOOKUP($B1207,DG!A:D,DG!$D$2,)</f>
        <v>cái</v>
      </c>
      <c r="G1207" s="595">
        <f>G1206</f>
        <v>0</v>
      </c>
      <c r="H1207" s="355">
        <f t="shared" si="64"/>
        <v>0</v>
      </c>
      <c r="I1207" s="355">
        <f>H1207+J1207-K1207</f>
        <v>0</v>
      </c>
      <c r="J1207" s="355"/>
      <c r="K1207" s="355"/>
      <c r="L1207" s="367"/>
      <c r="M1207" s="332"/>
      <c r="N1207" s="340"/>
      <c r="O1207" s="341"/>
    </row>
    <row r="1208" spans="1:15" ht="16.2">
      <c r="A1208" s="288"/>
      <c r="B1208" s="351" t="s">
        <v>706</v>
      </c>
      <c r="C1208" s="388" t="str">
        <f>IF(OR(I1208&lt;&gt;0,H1208&lt;&gt;0),"x"," ")</f>
        <v xml:space="preserve"> </v>
      </c>
      <c r="D1208" s="338"/>
      <c r="E1208" s="358" t="str">
        <f>VLOOKUP($B1208,DG!A:D,DG!$C$2,)</f>
        <v>Chân sứ đỉnh thẳng dài 870mm</v>
      </c>
      <c r="F1208" s="594" t="str">
        <f>VLOOKUP($B1208,DG!A:D,DG!$D$2,)</f>
        <v>cái</v>
      </c>
      <c r="G1208" s="595">
        <f>G1206</f>
        <v>0</v>
      </c>
      <c r="H1208" s="355">
        <f t="shared" si="64"/>
        <v>0</v>
      </c>
      <c r="I1208" s="355">
        <f>H1208+J1208-K1208</f>
        <v>0</v>
      </c>
      <c r="J1208" s="355"/>
      <c r="K1208" s="355"/>
      <c r="L1208" s="367"/>
      <c r="M1208" s="332"/>
      <c r="N1208" s="340"/>
      <c r="O1208" s="341"/>
    </row>
    <row r="1209" spans="1:15" ht="16.2">
      <c r="A1209" s="288"/>
      <c r="B1209" s="351" t="s">
        <v>707</v>
      </c>
      <c r="C1209" s="388" t="str">
        <f>IF(OR(I1209&lt;&gt;0,H1209&lt;&gt;0),"x"," ")</f>
        <v xml:space="preserve"> </v>
      </c>
      <c r="D1209" s="338"/>
      <c r="E1209" s="358" t="str">
        <f>VLOOKUP($B1209,DG!A:D,DG!$C$2,)</f>
        <v>Boulon 16x250</v>
      </c>
      <c r="F1209" s="594" t="str">
        <f>VLOOKUP($B1209,DG!A:D,DG!$D$2,)</f>
        <v>bộ</v>
      </c>
      <c r="G1209" s="595">
        <f>G1206*2</f>
        <v>0</v>
      </c>
      <c r="H1209" s="355">
        <f t="shared" si="64"/>
        <v>0</v>
      </c>
      <c r="I1209" s="355">
        <f>H1209+J1209-K1209</f>
        <v>0</v>
      </c>
      <c r="J1209" s="355"/>
      <c r="K1209" s="355"/>
      <c r="L1209" s="367"/>
      <c r="M1209" s="332"/>
      <c r="N1209" s="340"/>
      <c r="O1209" s="341"/>
    </row>
    <row r="1210" spans="1:15" ht="16.2">
      <c r="A1210" s="361"/>
      <c r="B1210" s="415" t="s">
        <v>967</v>
      </c>
      <c r="C1210" s="388" t="str">
        <f>IF(OR(I1210&lt;&gt;0,H1210&lt;&gt;0),"x"," ")</f>
        <v xml:space="preserve"> </v>
      </c>
      <c r="D1210" s="363"/>
      <c r="E1210" s="412" t="s">
        <v>968</v>
      </c>
      <c r="F1210" s="593" t="s">
        <v>775</v>
      </c>
      <c r="G1210" s="349"/>
      <c r="H1210" s="349">
        <f>IFERROR(HLOOKUP(B1210,'BKT-ThuHoi'!$5:$183,179,0),0)</f>
        <v>0</v>
      </c>
      <c r="I1210" s="350">
        <f>H1210+J1210-K1210</f>
        <v>0</v>
      </c>
      <c r="J1210" s="350"/>
      <c r="K1210" s="350"/>
      <c r="L1210" s="348"/>
      <c r="M1210" s="332"/>
      <c r="N1210" s="340"/>
      <c r="O1210" s="341"/>
    </row>
    <row r="1211" spans="1:15" ht="16.2">
      <c r="A1211" s="361"/>
      <c r="B1211" s="351" t="s">
        <v>963</v>
      </c>
      <c r="C1211" s="388" t="str">
        <f>IF(OR(I1211&lt;&gt;0,H1211&lt;&gt;0),"x"," ")</f>
        <v xml:space="preserve"> </v>
      </c>
      <c r="D1211" s="363"/>
      <c r="E1211" s="358" t="str">
        <f>VLOOKUP($B1211,DG!A:D,DG!$C$2,)</f>
        <v xml:space="preserve">Sứ đứng 24KV </v>
      </c>
      <c r="F1211" s="594" t="str">
        <f>VLOOKUP($B1211,DG!A:D,DG!$D$2,)</f>
        <v>cái</v>
      </c>
      <c r="G1211" s="595">
        <f>G1210*2</f>
        <v>0</v>
      </c>
      <c r="H1211" s="355">
        <f t="shared" si="64"/>
        <v>0</v>
      </c>
      <c r="I1211" s="355">
        <f>H1211+J1211-K1211</f>
        <v>0</v>
      </c>
      <c r="J1211" s="355"/>
      <c r="K1211" s="355"/>
      <c r="L1211" s="367"/>
      <c r="M1211" s="332"/>
      <c r="N1211" s="340"/>
      <c r="O1211" s="341"/>
    </row>
    <row r="1212" spans="1:15" ht="16.2">
      <c r="A1212" s="361"/>
      <c r="B1212" s="351" t="s">
        <v>969</v>
      </c>
      <c r="C1212" s="388" t="str">
        <f>IF(OR(I1212&lt;&gt;0,H1212&lt;&gt;0),"x"," ")</f>
        <v xml:space="preserve"> </v>
      </c>
      <c r="D1212" s="363"/>
      <c r="E1212" s="358" t="str">
        <f>VLOOKUP($B1212,DG!A:D,DG!$C$2,)</f>
        <v>Chân sứ đỉnh đỡ góc dài 870mm</v>
      </c>
      <c r="F1212" s="594" t="str">
        <f>VLOOKUP($B1212,DG!A:D,DG!$D$2,)</f>
        <v>cái</v>
      </c>
      <c r="G1212" s="595">
        <f>G1210*2</f>
        <v>0</v>
      </c>
      <c r="H1212" s="355">
        <f t="shared" si="64"/>
        <v>0</v>
      </c>
      <c r="I1212" s="355">
        <f>H1212+J1212-K1212</f>
        <v>0</v>
      </c>
      <c r="J1212" s="355"/>
      <c r="K1212" s="355"/>
      <c r="L1212" s="367"/>
      <c r="M1212" s="332"/>
      <c r="N1212" s="340"/>
      <c r="O1212" s="341"/>
    </row>
    <row r="1213" spans="1:15" ht="16.2">
      <c r="A1213" s="361"/>
      <c r="B1213" s="351" t="s">
        <v>707</v>
      </c>
      <c r="C1213" s="388" t="str">
        <f>IF(OR(I1213&lt;&gt;0,H1213&lt;&gt;0),"x"," ")</f>
        <v xml:space="preserve"> </v>
      </c>
      <c r="D1213" s="363"/>
      <c r="E1213" s="358" t="str">
        <f>VLOOKUP($B1213,DG!A:D,DG!$C$2,)</f>
        <v>Boulon 16x250</v>
      </c>
      <c r="F1213" s="594" t="str">
        <f>VLOOKUP($B1213,DG!A:D,DG!$D$2,)</f>
        <v>bộ</v>
      </c>
      <c r="G1213" s="595"/>
      <c r="H1213" s="355">
        <f t="shared" si="64"/>
        <v>0</v>
      </c>
      <c r="I1213" s="355">
        <f>H1213+J1213-K1213</f>
        <v>0</v>
      </c>
      <c r="J1213" s="355"/>
      <c r="K1213" s="355"/>
      <c r="L1213" s="367"/>
      <c r="M1213" s="332"/>
      <c r="N1213" s="340"/>
      <c r="O1213" s="341"/>
    </row>
    <row r="1214" spans="1:15" ht="16.2">
      <c r="A1214" s="288"/>
      <c r="B1214" s="411" t="s">
        <v>970</v>
      </c>
      <c r="C1214" s="388" t="str">
        <f>IF(OR(I1214&lt;&gt;0,H1214&lt;&gt;0),"x"," ")</f>
        <v xml:space="preserve"> </v>
      </c>
      <c r="D1214" s="338"/>
      <c r="E1214" s="412" t="s">
        <v>1067</v>
      </c>
      <c r="F1214" s="593" t="s">
        <v>972</v>
      </c>
      <c r="G1214" s="349"/>
      <c r="H1214" s="349">
        <f>IFERROR(HLOOKUP(B1214,'BKT-ThuHoi'!$5:$183,179,0),0)</f>
        <v>0</v>
      </c>
      <c r="I1214" s="350">
        <f>H1214+J1214-K1214</f>
        <v>0</v>
      </c>
      <c r="J1214" s="350"/>
      <c r="K1214" s="350"/>
      <c r="L1214" s="348"/>
      <c r="M1214" s="332"/>
      <c r="N1214" s="340"/>
      <c r="O1214" s="341"/>
    </row>
    <row r="1215" spans="1:15" ht="16.2">
      <c r="A1215" s="288"/>
      <c r="B1215" s="351" t="s">
        <v>973</v>
      </c>
      <c r="C1215" s="388" t="str">
        <f>IF(OR(I1215&lt;&gt;0,H1215&lt;&gt;0),"x"," ")</f>
        <v xml:space="preserve"> </v>
      </c>
      <c r="D1215" s="338"/>
      <c r="E1215" s="358" t="str">
        <f>VLOOKUP($B1215,DG!A:D,DG!$C$2,)</f>
        <v>Sứ treo loại 70kN</v>
      </c>
      <c r="F1215" s="594" t="str">
        <f>VLOOKUP($B1215,DG!A:D,DG!$D$2,)</f>
        <v>bát</v>
      </c>
      <c r="G1215" s="595">
        <f>G1214*2</f>
        <v>0</v>
      </c>
      <c r="H1215" s="355">
        <f t="shared" si="64"/>
        <v>0</v>
      </c>
      <c r="I1215" s="355">
        <f>H1215+J1215-K1215</f>
        <v>0</v>
      </c>
      <c r="J1215" s="355"/>
      <c r="K1215" s="355"/>
      <c r="L1215" s="367"/>
      <c r="M1215" s="332"/>
      <c r="N1215" s="340"/>
      <c r="O1215" s="341"/>
    </row>
    <row r="1216" spans="1:15" ht="16.2">
      <c r="A1216" s="288"/>
      <c r="B1216" s="351" t="s">
        <v>958</v>
      </c>
      <c r="C1216" s="388" t="str">
        <f>IF(OR(I1216&lt;&gt;0,H1216&lt;&gt;0),"x"," ")</f>
        <v xml:space="preserve"> </v>
      </c>
      <c r="D1216" s="338"/>
      <c r="E1216" s="358" t="str">
        <f>VLOOKUP($B1216,DG!A:D,DG!$C$2,)</f>
        <v xml:space="preserve">Móc treo chữ U </v>
      </c>
      <c r="F1216" s="594" t="str">
        <f>VLOOKUP($B1216,DG!A:D,DG!$D$2,)</f>
        <v>cái</v>
      </c>
      <c r="G1216" s="595">
        <f>G1214*2</f>
        <v>0</v>
      </c>
      <c r="H1216" s="355">
        <f t="shared" si="64"/>
        <v>0</v>
      </c>
      <c r="I1216" s="355">
        <f>H1216+J1216-K1216</f>
        <v>0</v>
      </c>
      <c r="J1216" s="355"/>
      <c r="K1216" s="355"/>
      <c r="L1216" s="367"/>
      <c r="M1216" s="332"/>
      <c r="N1216" s="340"/>
      <c r="O1216" s="341"/>
    </row>
    <row r="1217" spans="1:15" ht="16.2">
      <c r="A1217" s="288"/>
      <c r="B1217" s="351" t="s">
        <v>974</v>
      </c>
      <c r="C1217" s="388" t="str">
        <f>IF(OR(I1217&lt;&gt;0,H1217&lt;&gt;0),"x"," ")</f>
        <v xml:space="preserve"> </v>
      </c>
      <c r="D1217" s="338"/>
      <c r="E1217" s="358" t="str">
        <f>VLOOKUP($B1217,DG!A:D,DG!$C$2,)</f>
        <v>Vòng treo đầu tròn</v>
      </c>
      <c r="F1217" s="594" t="str">
        <f>VLOOKUP($B1217,DG!A:D,DG!$D$2,)</f>
        <v>cái</v>
      </c>
      <c r="G1217" s="595">
        <f>G1214</f>
        <v>0</v>
      </c>
      <c r="H1217" s="355">
        <f t="shared" si="64"/>
        <v>0</v>
      </c>
      <c r="I1217" s="355">
        <f>H1217+J1217-K1217</f>
        <v>0</v>
      </c>
      <c r="J1217" s="355"/>
      <c r="K1217" s="355"/>
      <c r="L1217" s="367"/>
      <c r="M1217" s="332"/>
      <c r="N1217" s="340"/>
      <c r="O1217" s="341"/>
    </row>
    <row r="1218" spans="1:15" ht="16.2">
      <c r="A1218" s="288"/>
      <c r="B1218" s="351" t="s">
        <v>975</v>
      </c>
      <c r="C1218" s="388" t="str">
        <f>IF(OR(I1218&lt;&gt;0,H1218&lt;&gt;0),"x"," ")</f>
        <v xml:space="preserve"> </v>
      </c>
      <c r="D1218" s="338"/>
      <c r="E1218" s="358" t="str">
        <f>VLOOKUP($B1218,DG!A:D,DG!$C$2,)</f>
        <v>Mắt nối đơn</v>
      </c>
      <c r="F1218" s="594" t="str">
        <f>VLOOKUP($B1218,DG!A:D,DG!$D$2,)</f>
        <v>cái</v>
      </c>
      <c r="G1218" s="595">
        <f>G1214</f>
        <v>0</v>
      </c>
      <c r="H1218" s="355">
        <f t="shared" si="64"/>
        <v>0</v>
      </c>
      <c r="I1218" s="355">
        <f>H1218+J1218-K1218</f>
        <v>0</v>
      </c>
      <c r="J1218" s="355"/>
      <c r="K1218" s="355"/>
      <c r="L1218" s="367"/>
      <c r="M1218" s="332"/>
      <c r="N1218" s="340"/>
      <c r="O1218" s="341"/>
    </row>
    <row r="1219" spans="1:15" ht="16.2">
      <c r="A1219" s="288"/>
      <c r="B1219" s="351" t="s">
        <v>976</v>
      </c>
      <c r="C1219" s="388" t="str">
        <f>IF(OR(I1219&lt;&gt;0,H1219&lt;&gt;0),"x"," ")</f>
        <v xml:space="preserve"> </v>
      </c>
      <c r="D1219" s="338"/>
      <c r="E1219" s="358" t="str">
        <f>VLOOKUP($B1219,DG!A:D,DG!$C$2,)</f>
        <v>Boulon mắt 16x300</v>
      </c>
      <c r="F1219" s="594" t="str">
        <f>VLOOKUP($B1219,DG!A:D,DG!$D$2,)</f>
        <v>bộ</v>
      </c>
      <c r="G1219" s="595">
        <f>G1214</f>
        <v>0</v>
      </c>
      <c r="H1219" s="355">
        <f t="shared" si="64"/>
        <v>0</v>
      </c>
      <c r="I1219" s="355">
        <f>H1219+J1219-K1219</f>
        <v>0</v>
      </c>
      <c r="J1219" s="355"/>
      <c r="K1219" s="355"/>
      <c r="L1219" s="367"/>
      <c r="M1219" s="332"/>
      <c r="N1219" s="340"/>
      <c r="O1219" s="341"/>
    </row>
    <row r="1220" spans="1:15" ht="16.2">
      <c r="A1220" s="288"/>
      <c r="B1220" s="411" t="s">
        <v>977</v>
      </c>
      <c r="C1220" s="388" t="str">
        <f>IF(OR(I1220&lt;&gt;0,H1220&lt;&gt;0),"x"," ")</f>
        <v xml:space="preserve"> </v>
      </c>
      <c r="D1220" s="338"/>
      <c r="E1220" s="412" t="s">
        <v>1092</v>
      </c>
      <c r="F1220" s="593" t="s">
        <v>972</v>
      </c>
      <c r="G1220" s="349"/>
      <c r="H1220" s="349">
        <f>IFERROR(HLOOKUP(B1220,'BKT-ThuHoi'!$5:$183,179,0),0)</f>
        <v>0</v>
      </c>
      <c r="I1220" s="350">
        <f>H1220+J1220-K1220</f>
        <v>0</v>
      </c>
      <c r="J1220" s="350"/>
      <c r="K1220" s="350"/>
      <c r="L1220" s="348"/>
      <c r="M1220" s="332"/>
      <c r="N1220" s="340"/>
      <c r="O1220" s="341"/>
    </row>
    <row r="1221" spans="1:15" ht="16.2">
      <c r="A1221" s="288"/>
      <c r="B1221" s="351" t="s">
        <v>979</v>
      </c>
      <c r="C1221" s="388" t="str">
        <f>IF(OR(I1221&lt;&gt;0,H1221&lt;&gt;0),"x"," ")</f>
        <v xml:space="preserve"> </v>
      </c>
      <c r="D1221" s="338"/>
      <c r="E1221" s="358" t="str">
        <f>VLOOKUP($B1221,DG!A:D,DG!$C$2,)</f>
        <v>Sứ treo loại 70kN</v>
      </c>
      <c r="F1221" s="594" t="str">
        <f>VLOOKUP($B1221,DG!A:D,DG!$D$2,)</f>
        <v>bát</v>
      </c>
      <c r="G1221" s="595"/>
      <c r="H1221" s="355">
        <f t="shared" si="64"/>
        <v>0</v>
      </c>
      <c r="I1221" s="355">
        <f>H1221+J1221-K1221</f>
        <v>0</v>
      </c>
      <c r="J1221" s="355"/>
      <c r="K1221" s="355"/>
      <c r="L1221" s="367"/>
      <c r="M1221" s="332"/>
      <c r="N1221" s="340"/>
      <c r="O1221" s="341"/>
    </row>
    <row r="1222" spans="1:15" ht="16.2">
      <c r="A1222" s="288"/>
      <c r="B1222" s="351" t="s">
        <v>958</v>
      </c>
      <c r="C1222" s="388" t="str">
        <f>IF(OR(I1222&lt;&gt;0,H1222&lt;&gt;0),"x"," ")</f>
        <v xml:space="preserve"> </v>
      </c>
      <c r="D1222" s="338"/>
      <c r="E1222" s="358" t="str">
        <f>VLOOKUP($B1222,DG!A:D,DG!$C$2,)</f>
        <v xml:space="preserve">Móc treo chữ U </v>
      </c>
      <c r="F1222" s="594" t="str">
        <f>VLOOKUP($B1222,DG!A:D,DG!$D$2,)</f>
        <v>cái</v>
      </c>
      <c r="G1222" s="595">
        <f>G1220*2</f>
        <v>0</v>
      </c>
      <c r="H1222" s="355">
        <f t="shared" si="64"/>
        <v>0</v>
      </c>
      <c r="I1222" s="355">
        <f>H1222+J1222-K1222</f>
        <v>0</v>
      </c>
      <c r="J1222" s="355"/>
      <c r="K1222" s="355"/>
      <c r="L1222" s="367"/>
      <c r="M1222" s="332"/>
      <c r="N1222" s="340"/>
      <c r="O1222" s="341"/>
    </row>
    <row r="1223" spans="1:15" ht="16.2">
      <c r="B1223" s="414" t="s">
        <v>1093</v>
      </c>
      <c r="C1223" s="388" t="str">
        <f>IF(OR(I1223&lt;&gt;0,H1223&lt;&gt;0),"x"," ")</f>
        <v xml:space="preserve"> </v>
      </c>
      <c r="D1223" s="338"/>
      <c r="E1223" s="412" t="s">
        <v>981</v>
      </c>
      <c r="F1223" s="593" t="s">
        <v>972</v>
      </c>
      <c r="G1223" s="349">
        <f>[3]pp3p1m!EC111-M1223</f>
        <v>0</v>
      </c>
      <c r="H1223" s="349">
        <f>IFERROR(HLOOKUP(B1223,'BKT-ThuHoi'!$5:$183,179,0),0)</f>
        <v>0</v>
      </c>
      <c r="I1223" s="350">
        <f>H1223+J1223-K1223</f>
        <v>0</v>
      </c>
      <c r="J1223" s="350"/>
      <c r="K1223" s="350"/>
      <c r="L1223" s="348"/>
      <c r="M1223" s="340"/>
      <c r="N1223" s="340"/>
      <c r="O1223" s="341"/>
    </row>
    <row r="1224" spans="1:15" ht="16.2">
      <c r="B1224" s="336" t="s">
        <v>982</v>
      </c>
      <c r="C1224" s="388" t="str">
        <f>IF(OR(I1224&lt;&gt;0,H1224&lt;&gt;0),"x"," ")</f>
        <v xml:space="preserve"> </v>
      </c>
      <c r="D1224" s="338"/>
      <c r="E1224" s="358" t="str">
        <f>VLOOKUP($B1224,DG!A:D,DG!$C$2,)</f>
        <v>Sứ treo polymer</v>
      </c>
      <c r="F1224" s="594" t="str">
        <f>VLOOKUP($B1224,DG!A:D,DG!$D$2,)</f>
        <v>chuỗi</v>
      </c>
      <c r="G1224" s="595">
        <f>G1223</f>
        <v>0</v>
      </c>
      <c r="H1224" s="355">
        <f t="shared" si="64"/>
        <v>0</v>
      </c>
      <c r="I1224" s="355">
        <f>H1224+J1224-K1224</f>
        <v>0</v>
      </c>
      <c r="J1224" s="355"/>
      <c r="K1224" s="355"/>
      <c r="L1224" s="367"/>
      <c r="M1224" s="340"/>
      <c r="N1224" s="340"/>
      <c r="O1224" s="341"/>
    </row>
    <row r="1225" spans="1:15" ht="16.2">
      <c r="B1225" s="336" t="s">
        <v>958</v>
      </c>
      <c r="C1225" s="388" t="str">
        <f>IF(OR(I1225&lt;&gt;0,H1225&lt;&gt;0),"x"," ")</f>
        <v xml:space="preserve"> </v>
      </c>
      <c r="D1225" s="338"/>
      <c r="E1225" s="358" t="str">
        <f>VLOOKUP($B1225,DG!A:D,DG!$C$2,)&amp;""</f>
        <v xml:space="preserve">Móc treo chữ U </v>
      </c>
      <c r="F1225" s="594" t="str">
        <f>VLOOKUP($B1225,DG!A:D,DG!$D$2,)</f>
        <v>cái</v>
      </c>
      <c r="G1225" s="595">
        <f>G1223*2</f>
        <v>0</v>
      </c>
      <c r="H1225" s="355">
        <f t="shared" si="64"/>
        <v>0</v>
      </c>
      <c r="I1225" s="355">
        <f>H1225+J1225-K1225</f>
        <v>0</v>
      </c>
      <c r="J1225" s="355"/>
      <c r="K1225" s="355"/>
      <c r="L1225" s="367"/>
      <c r="M1225" s="340"/>
      <c r="N1225" s="340"/>
      <c r="O1225" s="341"/>
    </row>
    <row r="1226" spans="1:15" ht="16.2">
      <c r="B1226" s="336" t="s">
        <v>1094</v>
      </c>
      <c r="C1226" s="388" t="str">
        <f>IF(OR(I1226&lt;&gt;0,H1226&lt;&gt;0),"x"," ")</f>
        <v xml:space="preserve"> </v>
      </c>
      <c r="D1226" s="338"/>
      <c r="E1226" s="358" t="str">
        <f>VLOOKUP($B1226,DG!A:D,DG!$C$2,)</f>
        <v>Khóa néo dây cỡ dây 185</v>
      </c>
      <c r="F1226" s="594" t="str">
        <f>VLOOKUP($B1226,DG!A:D,DG!$D$2,)</f>
        <v>cái</v>
      </c>
      <c r="G1226" s="595">
        <f>G1224</f>
        <v>0</v>
      </c>
      <c r="H1226" s="355">
        <f t="shared" si="64"/>
        <v>0</v>
      </c>
      <c r="I1226" s="355">
        <f>H1226+J1226-K1226</f>
        <v>0</v>
      </c>
      <c r="J1226" s="355"/>
      <c r="K1226" s="355"/>
      <c r="L1226" s="367"/>
      <c r="M1226" s="340"/>
      <c r="N1226" s="340"/>
      <c r="O1226" s="341"/>
    </row>
    <row r="1227" spans="1:15" ht="16.2">
      <c r="A1227" s="288"/>
      <c r="B1227" s="351" t="s">
        <v>1095</v>
      </c>
      <c r="C1227" s="388" t="str">
        <f>IF(OR(I1227&lt;&gt;0,H1227&lt;&gt;0),"x"," ")</f>
        <v xml:space="preserve"> </v>
      </c>
      <c r="D1227" s="338"/>
      <c r="E1227" s="358" t="str">
        <f>VLOOKUP($B1227,DG!A:D,DG!$C$2,)</f>
        <v>Khóa néo dây cỡ dây 240</v>
      </c>
      <c r="F1227" s="594" t="str">
        <f>VLOOKUP($B1227,DG!A:D,DG!$D$2,)</f>
        <v>cái</v>
      </c>
      <c r="G1227" s="595">
        <f>G1224*0</f>
        <v>0</v>
      </c>
      <c r="H1227" s="355"/>
      <c r="I1227" s="355">
        <f>H1227+J1227-K1227</f>
        <v>0</v>
      </c>
      <c r="J1227" s="355"/>
      <c r="K1227" s="355"/>
      <c r="L1227" s="367"/>
      <c r="M1227" s="332"/>
      <c r="N1227" s="340"/>
      <c r="O1227" s="341"/>
    </row>
    <row r="1228" spans="1:15" ht="16.2">
      <c r="A1228" s="288"/>
      <c r="B1228" s="400" t="s">
        <v>1074</v>
      </c>
      <c r="C1228" s="388" t="str">
        <f>IF(OR(I1228&lt;&gt;0,H1228&lt;&gt;0),"x"," ")</f>
        <v xml:space="preserve"> </v>
      </c>
      <c r="D1228" s="338"/>
      <c r="E1228" s="358" t="str">
        <f>VLOOKUP($B1228,DG!A:D,DG!$C$2,)</f>
        <v>Kẹp 2 rãnh (APC) cỡ dây 240 mm2</v>
      </c>
      <c r="F1228" s="594" t="str">
        <f>VLOOKUP($B1228,DG!A:D,DG!$D$2,)</f>
        <v>cái</v>
      </c>
      <c r="G1228" s="595">
        <f>G1223*G1227</f>
        <v>0</v>
      </c>
      <c r="H1228" s="355">
        <f t="shared" si="64"/>
        <v>0</v>
      </c>
      <c r="I1228" s="355">
        <f>H1228+J1228-K1228</f>
        <v>0</v>
      </c>
      <c r="J1228" s="355"/>
      <c r="K1228" s="355"/>
      <c r="L1228" s="367"/>
      <c r="M1228" s="332"/>
      <c r="N1228" s="340"/>
      <c r="O1228" s="341"/>
    </row>
    <row r="1229" spans="1:15" ht="16.2">
      <c r="A1229" s="288"/>
      <c r="B1229" s="411" t="s">
        <v>1096</v>
      </c>
      <c r="C1229" s="388" t="str">
        <f>IF(OR(I1229&lt;&gt;0,H1229&lt;&gt;0),"x"," ")</f>
        <v xml:space="preserve"> </v>
      </c>
      <c r="D1229" s="338"/>
      <c r="E1229" s="412" t="s">
        <v>1097</v>
      </c>
      <c r="F1229" s="593" t="s">
        <v>972</v>
      </c>
      <c r="G1229" s="349"/>
      <c r="H1229" s="349">
        <f>IFERROR(HLOOKUP(B1229,'BKT-ThuHoi'!$5:$183,179,0),0)</f>
        <v>0</v>
      </c>
      <c r="I1229" s="350">
        <f>H1229+J1229-K1229</f>
        <v>0</v>
      </c>
      <c r="J1229" s="350"/>
      <c r="K1229" s="350"/>
      <c r="L1229" s="348"/>
      <c r="M1229" s="332"/>
      <c r="N1229" s="340"/>
      <c r="O1229" s="341"/>
    </row>
    <row r="1230" spans="1:15" ht="16.2">
      <c r="A1230" s="288"/>
      <c r="B1230" s="351" t="s">
        <v>982</v>
      </c>
      <c r="C1230" s="388" t="str">
        <f>IF(OR(I1230&lt;&gt;0,H1230&lt;&gt;0),"x"," ")</f>
        <v xml:space="preserve"> </v>
      </c>
      <c r="D1230" s="338"/>
      <c r="E1230" s="358" t="str">
        <f>VLOOKUP($B1230,DG!A:D,DG!$C$2,)&amp;" "</f>
        <v xml:space="preserve">Sứ treo polymer </v>
      </c>
      <c r="F1230" s="594" t="str">
        <f>VLOOKUP($B1230,DG!A:D,DG!$D$2,)</f>
        <v>chuỗi</v>
      </c>
      <c r="G1230" s="595">
        <f>G1229</f>
        <v>0</v>
      </c>
      <c r="H1230" s="355">
        <f t="shared" si="64"/>
        <v>0</v>
      </c>
      <c r="I1230" s="355">
        <f>H1230+J1230-K1230</f>
        <v>0</v>
      </c>
      <c r="J1230" s="355"/>
      <c r="K1230" s="355"/>
      <c r="L1230" s="367"/>
      <c r="M1230" s="332"/>
      <c r="N1230" s="340"/>
      <c r="O1230" s="341"/>
    </row>
    <row r="1231" spans="1:15" ht="16.2">
      <c r="A1231" s="288"/>
      <c r="B1231" s="351" t="s">
        <v>958</v>
      </c>
      <c r="C1231" s="388" t="str">
        <f>IF(OR(I1231&lt;&gt;0,H1231&lt;&gt;0),"x"," ")</f>
        <v xml:space="preserve"> </v>
      </c>
      <c r="D1231" s="338"/>
      <c r="E1231" s="358" t="str">
        <f>VLOOKUP($B1231,DG!A:D,DG!$C$2,)&amp;""</f>
        <v xml:space="preserve">Móc treo chữ U </v>
      </c>
      <c r="F1231" s="594" t="str">
        <f>VLOOKUP($B1231,DG!A:D,DG!$D$2,)</f>
        <v>cái</v>
      </c>
      <c r="G1231" s="595">
        <f>G1229*2</f>
        <v>0</v>
      </c>
      <c r="H1231" s="355">
        <f t="shared" si="64"/>
        <v>0</v>
      </c>
      <c r="I1231" s="355">
        <f>H1231+J1231-K1231</f>
        <v>0</v>
      </c>
      <c r="J1231" s="355"/>
      <c r="K1231" s="355"/>
      <c r="L1231" s="367"/>
      <c r="M1231" s="332"/>
      <c r="N1231" s="340"/>
      <c r="O1231" s="341"/>
    </row>
    <row r="1232" spans="1:15" ht="16.2">
      <c r="A1232" s="288"/>
      <c r="B1232" s="351" t="s">
        <v>992</v>
      </c>
      <c r="C1232" s="388" t="str">
        <f>IF(OR(I1232&lt;&gt;0,H1232&lt;&gt;0),"x"," ")</f>
        <v xml:space="preserve"> </v>
      </c>
      <c r="D1232" s="338"/>
      <c r="E1232" s="358" t="str">
        <f>VLOOKUP($B1232,DG!A:D,DG!$C$2,)</f>
        <v>Khóa néo dây cỡ dây 185</v>
      </c>
      <c r="F1232" s="594" t="str">
        <f>VLOOKUP($B1232,DG!A:D,DG!$D$2,)</f>
        <v>cái</v>
      </c>
      <c r="G1232" s="595">
        <f>G1229</f>
        <v>0</v>
      </c>
      <c r="H1232" s="355">
        <f t="shared" si="64"/>
        <v>0</v>
      </c>
      <c r="I1232" s="355">
        <f>H1232+J1232-K1232</f>
        <v>0</v>
      </c>
      <c r="J1232" s="355"/>
      <c r="K1232" s="355"/>
      <c r="L1232" s="367"/>
      <c r="M1232" s="332"/>
      <c r="N1232" s="340"/>
      <c r="O1232" s="341"/>
    </row>
    <row r="1233" spans="1:15" ht="16.2">
      <c r="A1233" s="288"/>
      <c r="B1233" s="351" t="s">
        <v>840</v>
      </c>
      <c r="C1233" s="388" t="str">
        <f>IF(OR(I1233&lt;&gt;0,H1233&lt;&gt;0),"x"," ")</f>
        <v xml:space="preserve"> </v>
      </c>
      <c r="D1233" s="338"/>
      <c r="E1233" s="358" t="str">
        <f>VLOOKUP($B1233,DG!A:D,DG!$C$2,)</f>
        <v>Boulon mắt 16x300</v>
      </c>
      <c r="F1233" s="594" t="str">
        <f>VLOOKUP($B1233,DG!A:D,DG!$D$2,)</f>
        <v>bộ</v>
      </c>
      <c r="G1233" s="595">
        <f>G1229</f>
        <v>0</v>
      </c>
      <c r="H1233" s="355">
        <f t="shared" si="64"/>
        <v>0</v>
      </c>
      <c r="I1233" s="355">
        <f>H1233+J1233-K1233</f>
        <v>0</v>
      </c>
      <c r="J1233" s="355"/>
      <c r="K1233" s="355"/>
      <c r="L1233" s="367"/>
      <c r="M1233" s="332"/>
      <c r="N1233" s="340"/>
      <c r="O1233" s="341"/>
    </row>
    <row r="1234" spans="1:15" ht="16.2">
      <c r="A1234" s="288"/>
      <c r="B1234" s="371" t="s">
        <v>727</v>
      </c>
      <c r="C1234" s="388" t="str">
        <f>IF(OR(I1234&lt;&gt;0,H1234&lt;&gt;0),"x"," ")</f>
        <v xml:space="preserve"> </v>
      </c>
      <c r="D1234" s="338"/>
      <c r="E1234" s="358" t="str">
        <f>VLOOKUP($B1234,DG!A:D,DG!$C$2,)&amp;""</f>
        <v>Cổ dê bắt xà + bulon</v>
      </c>
      <c r="F1234" s="594" t="s">
        <v>775</v>
      </c>
      <c r="G1234" s="595"/>
      <c r="H1234" s="355">
        <f t="shared" si="64"/>
        <v>0</v>
      </c>
      <c r="I1234" s="355">
        <f>H1234+J1234-K1234</f>
        <v>0</v>
      </c>
      <c r="J1234" s="355"/>
      <c r="K1234" s="355"/>
      <c r="L1234" s="367"/>
      <c r="M1234" s="332"/>
      <c r="N1234" s="340"/>
      <c r="O1234" s="341"/>
    </row>
    <row r="1235" spans="1:15" ht="16.2">
      <c r="A1235" s="288"/>
      <c r="B1235" s="371" t="s">
        <v>1098</v>
      </c>
      <c r="C1235" s="388" t="str">
        <f>IF(OR(I1235&lt;&gt;0,H1235&lt;&gt;0),"x"," ")</f>
        <v xml:space="preserve"> </v>
      </c>
      <c r="D1235" s="338"/>
      <c r="E1235" s="358" t="str">
        <f>VLOOKUP($B1235,DG!A:D,DG!$C$2,)&amp;""</f>
        <v xml:space="preserve">Cổ dê giữ ống D140 vào trụ + Bulon </v>
      </c>
      <c r="F1235" s="594" t="s">
        <v>775</v>
      </c>
      <c r="G1235" s="595"/>
      <c r="H1235" s="355">
        <f t="shared" si="64"/>
        <v>0</v>
      </c>
      <c r="I1235" s="355">
        <f>H1235+J1235-K1235</f>
        <v>0</v>
      </c>
      <c r="J1235" s="355"/>
      <c r="K1235" s="355"/>
      <c r="L1235" s="367"/>
      <c r="M1235" s="332"/>
      <c r="N1235" s="340"/>
      <c r="O1235" s="341"/>
    </row>
    <row r="1236" spans="1:15" ht="16.2">
      <c r="A1236" s="288"/>
      <c r="B1236" s="411" t="s">
        <v>977</v>
      </c>
      <c r="C1236" s="388" t="str">
        <f>IF(OR(I1236&lt;&gt;0,H1236&lt;&gt;0),"x"," ")</f>
        <v xml:space="preserve"> </v>
      </c>
      <c r="D1236" s="338"/>
      <c r="E1236" s="412" t="s">
        <v>1099</v>
      </c>
      <c r="F1236" s="593" t="s">
        <v>775</v>
      </c>
      <c r="G1236" s="349"/>
      <c r="H1236" s="349">
        <f>IFERROR(HLOOKUP(B1236,'BKT-ThuHoi'!$5:$183,179,0),0)</f>
        <v>0</v>
      </c>
      <c r="I1236" s="350">
        <f>H1236+J1236-K1236</f>
        <v>0</v>
      </c>
      <c r="J1236" s="350"/>
      <c r="K1236" s="350"/>
      <c r="L1236" s="348"/>
      <c r="M1236" s="332"/>
      <c r="N1236" s="340"/>
      <c r="O1236" s="341"/>
    </row>
    <row r="1237" spans="1:15" ht="16.2">
      <c r="A1237" s="288"/>
      <c r="B1237" s="351" t="s">
        <v>758</v>
      </c>
      <c r="C1237" s="388" t="str">
        <f>IF(OR(I1237&lt;&gt;0,H1237&lt;&gt;0),"x"," ")</f>
        <v xml:space="preserve"> </v>
      </c>
      <c r="D1237" s="338"/>
      <c r="E1237" s="358" t="str">
        <f>VLOOKUP($B1237,DG!A:D,DG!$C$2,)&amp;""</f>
        <v>Sắt dẹt 50 x 5</v>
      </c>
      <c r="F1237" s="594" t="str">
        <f>VLOOKUP($B1237,DG!A:D,DG!$D$2,)</f>
        <v>kg</v>
      </c>
      <c r="G1237" s="595">
        <f>2.826*(3.14159*0.225+0.06*4)*G1236</f>
        <v>0</v>
      </c>
      <c r="H1237" s="355"/>
      <c r="I1237" s="355">
        <f>H1237+J1237-K1237</f>
        <v>0</v>
      </c>
      <c r="J1237" s="355"/>
      <c r="K1237" s="355"/>
      <c r="L1237" s="367"/>
      <c r="M1237" s="332"/>
      <c r="N1237" s="340"/>
      <c r="O1237" s="341"/>
    </row>
    <row r="1238" spans="1:15" ht="16.2">
      <c r="A1238" s="288"/>
      <c r="B1238" s="351" t="s">
        <v>1100</v>
      </c>
      <c r="C1238" s="388" t="str">
        <f>IF(OR(I1238&lt;&gt;0,H1238&lt;&gt;0),"x"," ")</f>
        <v xml:space="preserve"> </v>
      </c>
      <c r="D1238" s="338"/>
      <c r="E1238" s="358" t="str">
        <f>VLOOKUP($B1238,DG!A:D,DG!$C$2,)&amp;""</f>
        <v>Boulon 10x40</v>
      </c>
      <c r="F1238" s="594" t="str">
        <f>VLOOKUP($B1238,DG!A:D,DG!$D$2,)</f>
        <v>bộ</v>
      </c>
      <c r="G1238" s="595">
        <f>G1236*2</f>
        <v>0</v>
      </c>
      <c r="H1238" s="355"/>
      <c r="I1238" s="355">
        <f>H1238+J1238-K1238</f>
        <v>0</v>
      </c>
      <c r="J1238" s="355"/>
      <c r="K1238" s="355"/>
      <c r="L1238" s="367"/>
      <c r="M1238" s="332"/>
      <c r="N1238" s="340"/>
      <c r="O1238" s="341"/>
    </row>
    <row r="1239" spans="1:15" ht="16.2">
      <c r="A1239" s="431"/>
      <c r="B1239" s="343">
        <v>0</v>
      </c>
      <c r="C1239" s="388" t="str">
        <f>IF(OR(I1239&lt;&gt;0,H1239&lt;&gt;0),"x"," ")</f>
        <v xml:space="preserve"> </v>
      </c>
      <c r="D1239" s="432"/>
      <c r="E1239" s="412" t="s">
        <v>1101</v>
      </c>
      <c r="F1239" s="593"/>
      <c r="G1239" s="349"/>
      <c r="H1239" s="349">
        <f>IFERROR(HLOOKUP(B1239,'BKT-ThuHoi'!$5:$183,179,0),0)</f>
        <v>0</v>
      </c>
      <c r="I1239" s="350">
        <f>H1239+J1239-K1239</f>
        <v>0</v>
      </c>
      <c r="J1239" s="350"/>
      <c r="K1239" s="350"/>
      <c r="L1239" s="348"/>
      <c r="M1239" s="332"/>
      <c r="N1239" s="340"/>
      <c r="O1239" s="341"/>
    </row>
    <row r="1240" spans="1:15" ht="16.2">
      <c r="A1240" s="288"/>
      <c r="B1240" s="417" t="s">
        <v>984</v>
      </c>
      <c r="C1240" s="388" t="str">
        <f>IF(OR(I1240&lt;&gt;0,H1240&lt;&gt;0),"x"," ")</f>
        <v xml:space="preserve"> </v>
      </c>
      <c r="D1240" s="338"/>
      <c r="E1240" s="358" t="str">
        <f>VLOOKUP($B1240,DG!A:D,DG!$C$2,)</f>
        <v>Khóa đỡ dây cỡ dây 240</v>
      </c>
      <c r="F1240" s="594" t="str">
        <f>VLOOKUP($B1240,DG!A:D,DG!$D$2,)</f>
        <v>cái</v>
      </c>
      <c r="G1240" s="595"/>
      <c r="H1240" s="355">
        <f t="shared" si="64"/>
        <v>0</v>
      </c>
      <c r="I1240" s="355">
        <f>H1240+J1240-K1240</f>
        <v>0</v>
      </c>
      <c r="J1240" s="355"/>
      <c r="K1240" s="355"/>
      <c r="L1240" s="367"/>
      <c r="M1240" s="332"/>
      <c r="N1240" s="340"/>
      <c r="O1240" s="341"/>
    </row>
    <row r="1241" spans="1:15" ht="16.2">
      <c r="A1241" s="288"/>
      <c r="B1241" s="417" t="s">
        <v>985</v>
      </c>
      <c r="C1241" s="388" t="str">
        <f>IF(OR(I1241&lt;&gt;0,H1241&lt;&gt;0),"x"," ")</f>
        <v xml:space="preserve"> </v>
      </c>
      <c r="D1241" s="338"/>
      <c r="E1241" s="358" t="str">
        <f>VLOOKUP($B1241,DG!A:D,DG!$C$2,)</f>
        <v>Khóa đỡ dây cỡ dây 185</v>
      </c>
      <c r="F1241" s="594" t="str">
        <f>VLOOKUP($B1241,DG!A:D,DG!$D$2,)</f>
        <v>cái</v>
      </c>
      <c r="G1241" s="595"/>
      <c r="H1241" s="355">
        <f t="shared" si="64"/>
        <v>0</v>
      </c>
      <c r="I1241" s="355">
        <f>H1241+J1241-K1241</f>
        <v>0</v>
      </c>
      <c r="J1241" s="355"/>
      <c r="K1241" s="355"/>
      <c r="L1241" s="367"/>
      <c r="M1241" s="332"/>
      <c r="N1241" s="340"/>
      <c r="O1241" s="341"/>
    </row>
    <row r="1242" spans="1:15" ht="16.2">
      <c r="A1242" s="288"/>
      <c r="B1242" s="417" t="s">
        <v>986</v>
      </c>
      <c r="C1242" s="388" t="str">
        <f>IF(OR(I1242&lt;&gt;0,H1242&lt;&gt;0),"x"," ")</f>
        <v xml:space="preserve"> </v>
      </c>
      <c r="D1242" s="338"/>
      <c r="E1242" s="358" t="str">
        <f>VLOOKUP($B1242,DG!A:D,DG!$C$2,)</f>
        <v>Khóa đỡ dây cỡ dây 150</v>
      </c>
      <c r="F1242" s="594" t="str">
        <f>VLOOKUP($B1242,DG!A:D,DG!$D$2,)</f>
        <v>cái</v>
      </c>
      <c r="G1242" s="595"/>
      <c r="H1242" s="355">
        <f t="shared" si="64"/>
        <v>0</v>
      </c>
      <c r="I1242" s="355">
        <f>H1242+J1242-K1242</f>
        <v>0</v>
      </c>
      <c r="J1242" s="355"/>
      <c r="K1242" s="355"/>
      <c r="L1242" s="367"/>
      <c r="M1242" s="332"/>
      <c r="N1242" s="340"/>
      <c r="O1242" s="341"/>
    </row>
    <row r="1243" spans="1:15" ht="16.2">
      <c r="A1243" s="288"/>
      <c r="B1243" s="417" t="s">
        <v>987</v>
      </c>
      <c r="C1243" s="388" t="str">
        <f>IF(OR(I1243&lt;&gt;0,H1243&lt;&gt;0),"x"," ")</f>
        <v xml:space="preserve"> </v>
      </c>
      <c r="D1243" s="338"/>
      <c r="E1243" s="358" t="str">
        <f>VLOOKUP($B1243,DG!A:D,DG!$C$2,)</f>
        <v>Khóa đỡ dây cỡ dây 120</v>
      </c>
      <c r="F1243" s="594" t="str">
        <f>VLOOKUP($B1243,DG!A:D,DG!$D$2,)</f>
        <v>cái</v>
      </c>
      <c r="G1243" s="595"/>
      <c r="H1243" s="355">
        <f t="shared" si="64"/>
        <v>0</v>
      </c>
      <c r="I1243" s="355">
        <f>H1243+J1243-K1243</f>
        <v>0</v>
      </c>
      <c r="J1243" s="355"/>
      <c r="K1243" s="355"/>
      <c r="L1243" s="367"/>
      <c r="M1243" s="332"/>
      <c r="N1243" s="340"/>
      <c r="O1243" s="341"/>
    </row>
    <row r="1244" spans="1:15" ht="16.2">
      <c r="A1244" s="288"/>
      <c r="B1244" s="417" t="s">
        <v>988</v>
      </c>
      <c r="C1244" s="388" t="str">
        <f>IF(OR(I1244&lt;&gt;0,H1244&lt;&gt;0),"x"," ")</f>
        <v xml:space="preserve"> </v>
      </c>
      <c r="D1244" s="338"/>
      <c r="E1244" s="358" t="str">
        <f>VLOOKUP($B1244,DG!A:D,DG!$C$2,)</f>
        <v>Khóa đỡ dây cỡ dây 95</v>
      </c>
      <c r="F1244" s="594" t="str">
        <f>VLOOKUP($B1244,DG!A:D,DG!$D$2,)</f>
        <v>cái</v>
      </c>
      <c r="G1244" s="595"/>
      <c r="H1244" s="355">
        <f t="shared" si="64"/>
        <v>0</v>
      </c>
      <c r="I1244" s="355">
        <f>H1244+J1244-K1244</f>
        <v>0</v>
      </c>
      <c r="J1244" s="355"/>
      <c r="K1244" s="355"/>
      <c r="L1244" s="367"/>
      <c r="M1244" s="332"/>
      <c r="N1244" s="340"/>
      <c r="O1244" s="341"/>
    </row>
    <row r="1245" spans="1:15" ht="16.2">
      <c r="A1245" s="288"/>
      <c r="B1245" s="417" t="s">
        <v>989</v>
      </c>
      <c r="C1245" s="388" t="str">
        <f>IF(OR(I1245&lt;&gt;0,H1245&lt;&gt;0),"x"," ")</f>
        <v xml:space="preserve"> </v>
      </c>
      <c r="D1245" s="338"/>
      <c r="E1245" s="358" t="str">
        <f>VLOOKUP($B1245,DG!A:D,DG!$C$2,)</f>
        <v>Khóa đỡ dây cỡ dây 70</v>
      </c>
      <c r="F1245" s="594" t="str">
        <f>VLOOKUP($B1245,DG!A:D,DG!$D$2,)</f>
        <v>cái</v>
      </c>
      <c r="G1245" s="595"/>
      <c r="H1245" s="355">
        <f t="shared" si="64"/>
        <v>0</v>
      </c>
      <c r="I1245" s="355">
        <f>H1245+J1245-K1245</f>
        <v>0</v>
      </c>
      <c r="J1245" s="355"/>
      <c r="K1245" s="355"/>
      <c r="L1245" s="367"/>
      <c r="M1245" s="332"/>
      <c r="N1245" s="340"/>
      <c r="O1245" s="341"/>
    </row>
    <row r="1246" spans="1:15" ht="16.2">
      <c r="A1246" s="288"/>
      <c r="B1246" s="417" t="s">
        <v>990</v>
      </c>
      <c r="C1246" s="388" t="str">
        <f>IF(OR(I1246&lt;&gt;0,H1246&lt;&gt;0),"x"," ")</f>
        <v xml:space="preserve"> </v>
      </c>
      <c r="D1246" s="338"/>
      <c r="E1246" s="358" t="str">
        <f>VLOOKUP($B1246,DG!A:D,DG!$C$2,)</f>
        <v>Khóa đỡ dây cỡ dây 50</v>
      </c>
      <c r="F1246" s="594" t="str">
        <f>VLOOKUP($B1246,DG!A:D,DG!$D$2,)</f>
        <v>cái</v>
      </c>
      <c r="G1246" s="595"/>
      <c r="H1246" s="355">
        <f t="shared" si="64"/>
        <v>0</v>
      </c>
      <c r="I1246" s="355">
        <f>H1246+J1246-K1246</f>
        <v>0</v>
      </c>
      <c r="J1246" s="355"/>
      <c r="K1246" s="355"/>
      <c r="L1246" s="367"/>
      <c r="M1246" s="332"/>
      <c r="N1246" s="340"/>
      <c r="O1246" s="341"/>
    </row>
    <row r="1247" spans="1:15" ht="16.2">
      <c r="A1247" s="288"/>
      <c r="B1247" s="417" t="s">
        <v>991</v>
      </c>
      <c r="C1247" s="388" t="str">
        <f>IF(OR(I1247&lt;&gt;0,H1247&lt;&gt;0),"x"," ")</f>
        <v xml:space="preserve"> </v>
      </c>
      <c r="D1247" s="338"/>
      <c r="E1247" s="358" t="str">
        <f>VLOOKUP($B1247,DG!A:D,DG!$C$2,)</f>
        <v>Khóa néo dây cỡ dây 240</v>
      </c>
      <c r="F1247" s="594" t="str">
        <f>VLOOKUP($B1247,DG!A:D,DG!$D$2,)</f>
        <v>cái</v>
      </c>
      <c r="G1247" s="595">
        <f>+G1220</f>
        <v>0</v>
      </c>
      <c r="H1247" s="355">
        <f t="shared" si="64"/>
        <v>0</v>
      </c>
      <c r="I1247" s="355">
        <f>H1247+J1247-K1247</f>
        <v>0</v>
      </c>
      <c r="J1247" s="355"/>
      <c r="K1247" s="355"/>
      <c r="L1247" s="367"/>
      <c r="M1247" s="332"/>
      <c r="N1247" s="340"/>
      <c r="O1247" s="341"/>
    </row>
    <row r="1248" spans="1:15" ht="16.2">
      <c r="A1248" s="288"/>
      <c r="B1248" s="417" t="s">
        <v>957</v>
      </c>
      <c r="C1248" s="388" t="str">
        <f>IF(OR(I1248&lt;&gt;0,H1248&lt;&gt;0),"x"," ")</f>
        <v xml:space="preserve"> </v>
      </c>
      <c r="D1248" s="338"/>
      <c r="E1248" s="358" t="str">
        <f>VLOOKUP($B1248,DG!A:D,DG!$C$2,)</f>
        <v>Khóa néo dây cỡ dây 50</v>
      </c>
      <c r="F1248" s="594" t="str">
        <f>VLOOKUP($B1248,DG!A:D,DG!$D$2,)</f>
        <v>cái</v>
      </c>
      <c r="G1248" s="595"/>
      <c r="H1248" s="355">
        <f t="shared" si="64"/>
        <v>0</v>
      </c>
      <c r="I1248" s="355">
        <f>H1248+J1248-K1248</f>
        <v>0</v>
      </c>
      <c r="J1248" s="355"/>
      <c r="K1248" s="355"/>
      <c r="L1248" s="367"/>
      <c r="M1248" s="332"/>
      <c r="N1248" s="340"/>
      <c r="O1248" s="341"/>
    </row>
    <row r="1249" spans="1:15" ht="16.2">
      <c r="A1249" s="288"/>
      <c r="B1249" s="417" t="s">
        <v>993</v>
      </c>
      <c r="C1249" s="388" t="str">
        <f>IF(OR(I1249&lt;&gt;0,H1249&lt;&gt;0),"x"," ")</f>
        <v xml:space="preserve"> </v>
      </c>
      <c r="D1249" s="338"/>
      <c r="E1249" s="358" t="str">
        <f>VLOOKUP($B1249,DG!A:D,DG!$C$2,)</f>
        <v>Khóa néo dây cỡ dây 150</v>
      </c>
      <c r="F1249" s="594" t="str">
        <f>VLOOKUP($B1249,DG!A:D,DG!$D$2,)</f>
        <v>cái</v>
      </c>
      <c r="G1249" s="595"/>
      <c r="H1249" s="355">
        <f t="shared" si="64"/>
        <v>0</v>
      </c>
      <c r="I1249" s="355">
        <f>H1249+J1249-K1249</f>
        <v>0</v>
      </c>
      <c r="J1249" s="355"/>
      <c r="K1249" s="355"/>
      <c r="L1249" s="367"/>
      <c r="M1249" s="332"/>
      <c r="N1249" s="340"/>
      <c r="O1249" s="341"/>
    </row>
    <row r="1250" spans="1:15" ht="16.2">
      <c r="A1250" s="288"/>
      <c r="B1250" s="417" t="s">
        <v>994</v>
      </c>
      <c r="C1250" s="388" t="str">
        <f>IF(OR(I1250&lt;&gt;0,H1250&lt;&gt;0),"x"," ")</f>
        <v xml:space="preserve"> </v>
      </c>
      <c r="D1250" s="338"/>
      <c r="E1250" s="358" t="str">
        <f>VLOOKUP($B1250,DG!A:D,DG!$C$2,)</f>
        <v>Khóa néo dây cỡ dây 120</v>
      </c>
      <c r="F1250" s="594" t="str">
        <f>VLOOKUP($B1250,DG!A:D,DG!$D$2,)</f>
        <v>cái</v>
      </c>
      <c r="G1250" s="595"/>
      <c r="H1250" s="355">
        <f t="shared" si="64"/>
        <v>0</v>
      </c>
      <c r="I1250" s="355">
        <f>H1250+J1250-K1250</f>
        <v>0</v>
      </c>
      <c r="J1250" s="355"/>
      <c r="K1250" s="355"/>
      <c r="L1250" s="367"/>
      <c r="M1250" s="332"/>
      <c r="N1250" s="340"/>
      <c r="O1250" s="341"/>
    </row>
    <row r="1251" spans="1:15" ht="16.2">
      <c r="A1251" s="288"/>
      <c r="B1251" s="417" t="s">
        <v>995</v>
      </c>
      <c r="C1251" s="388" t="str">
        <f>IF(OR(I1251&lt;&gt;0,H1251&lt;&gt;0),"x"," ")</f>
        <v xml:space="preserve"> </v>
      </c>
      <c r="D1251" s="338"/>
      <c r="E1251" s="358" t="str">
        <f>VLOOKUP($B1251,DG!A:D,DG!$C$2,)</f>
        <v>Khóa néo dây cỡ dây 95</v>
      </c>
      <c r="F1251" s="594" t="str">
        <f>VLOOKUP($B1251,DG!A:D,DG!$D$2,)</f>
        <v>cái</v>
      </c>
      <c r="G1251" s="595"/>
      <c r="H1251" s="355">
        <f>$G1251</f>
        <v>0</v>
      </c>
      <c r="I1251" s="355">
        <f>H1251+J1251-K1251</f>
        <v>0</v>
      </c>
      <c r="J1251" s="355"/>
      <c r="K1251" s="355"/>
      <c r="L1251" s="367"/>
      <c r="M1251" s="332"/>
      <c r="N1251" s="340"/>
      <c r="O1251" s="341"/>
    </row>
    <row r="1252" spans="1:15" ht="16.2">
      <c r="A1252" s="288"/>
      <c r="B1252" s="417" t="s">
        <v>996</v>
      </c>
      <c r="C1252" s="388" t="str">
        <f>IF(OR(I1252&lt;&gt;0,H1252&lt;&gt;0),"x"," ")</f>
        <v xml:space="preserve"> </v>
      </c>
      <c r="D1252" s="338"/>
      <c r="E1252" s="358" t="str">
        <f>VLOOKUP($B1252,DG!A:D,DG!$C$2,)</f>
        <v>Khóa néo dây cỡ dây 70</v>
      </c>
      <c r="F1252" s="594" t="str">
        <f>VLOOKUP($B1252,DG!A:D,DG!$D$2,)</f>
        <v>cái</v>
      </c>
      <c r="G1252" s="595"/>
      <c r="H1252" s="355">
        <f t="shared" si="64"/>
        <v>0</v>
      </c>
      <c r="I1252" s="355">
        <f>H1252+J1252-K1252</f>
        <v>0</v>
      </c>
      <c r="J1252" s="355"/>
      <c r="K1252" s="355"/>
      <c r="L1252" s="367"/>
      <c r="M1252" s="332"/>
      <c r="N1252" s="340"/>
      <c r="O1252" s="341"/>
    </row>
    <row r="1253" spans="1:15" ht="16.2">
      <c r="A1253" s="288"/>
      <c r="B1253" s="433" t="s">
        <v>997</v>
      </c>
      <c r="C1253" s="388" t="str">
        <f>IF(OR(I1253&lt;&gt;0,H1253&lt;&gt;0),"x"," ")</f>
        <v xml:space="preserve"> </v>
      </c>
      <c r="D1253" s="338"/>
      <c r="E1253" s="358" t="str">
        <f>VLOOKUP($B1253,DG!A:D,DG!$C$2,)</f>
        <v>Khóa néo dây cỡ dây 50</v>
      </c>
      <c r="F1253" s="594" t="str">
        <f>VLOOKUP($B1253,DG!A:D,DG!$D$2,)</f>
        <v>cái</v>
      </c>
      <c r="G1253" s="595"/>
      <c r="H1253" s="355">
        <f t="shared" si="64"/>
        <v>0</v>
      </c>
      <c r="I1253" s="355">
        <f>H1253+J1253-K1253</f>
        <v>0</v>
      </c>
      <c r="J1253" s="355"/>
      <c r="K1253" s="355"/>
      <c r="L1253" s="367"/>
      <c r="M1253" s="332"/>
      <c r="N1253" s="340"/>
      <c r="O1253" s="341"/>
    </row>
    <row r="1254" spans="1:15" ht="16.2">
      <c r="A1254" s="288"/>
      <c r="B1254" s="417" t="s">
        <v>1102</v>
      </c>
      <c r="C1254" s="388" t="str">
        <f>IF(OR(I1254&lt;&gt;0,H1254&lt;&gt;0),"x"," ")</f>
        <v xml:space="preserve"> </v>
      </c>
      <c r="D1254" s="338"/>
      <c r="E1254" s="358" t="str">
        <f>VLOOKUP($B1254,DG!A:D,DG!$C$2,)</f>
        <v>Ốc xiết cáp cỡ 25mm2</v>
      </c>
      <c r="F1254" s="594" t="str">
        <f>VLOOKUP($B1254,DG!A:D,DG!$D$2,)</f>
        <v>cái</v>
      </c>
      <c r="G1254" s="595"/>
      <c r="H1254" s="355">
        <f t="shared" si="64"/>
        <v>0</v>
      </c>
      <c r="I1254" s="355">
        <f>H1254+J1254-K1254</f>
        <v>0</v>
      </c>
      <c r="J1254" s="355"/>
      <c r="K1254" s="355"/>
      <c r="L1254" s="367"/>
      <c r="M1254" s="332"/>
      <c r="N1254" s="340"/>
      <c r="O1254" s="341"/>
    </row>
    <row r="1255" spans="1:15" ht="16.2">
      <c r="A1255" s="288"/>
      <c r="B1255" s="417" t="s">
        <v>1103</v>
      </c>
      <c r="C1255" s="388" t="str">
        <f>IF(OR(I1255&lt;&gt;0,H1255&lt;&gt;0),"x"," ")</f>
        <v xml:space="preserve"> </v>
      </c>
      <c r="D1255" s="338"/>
      <c r="E1255" s="358" t="str">
        <f>VLOOKUP($B1255,DG!A:D,DG!$C$2,)</f>
        <v xml:space="preserve">Ốc xiết cáp cỡ 50mm2 </v>
      </c>
      <c r="F1255" s="594" t="str">
        <f>VLOOKUP($B1255,DG!A:D,DG!$D$2,)</f>
        <v>cái</v>
      </c>
      <c r="G1255" s="595"/>
      <c r="H1255" s="355">
        <f t="shared" si="64"/>
        <v>0</v>
      </c>
      <c r="I1255" s="355">
        <f>H1255+J1255-K1255</f>
        <v>0</v>
      </c>
      <c r="J1255" s="355"/>
      <c r="K1255" s="355"/>
      <c r="L1255" s="367"/>
      <c r="M1255" s="332"/>
      <c r="N1255" s="340"/>
      <c r="O1255" s="341"/>
    </row>
    <row r="1256" spans="1:15" ht="16.2">
      <c r="A1256" s="288"/>
      <c r="B1256" s="417" t="s">
        <v>1104</v>
      </c>
      <c r="C1256" s="388" t="str">
        <f>IF(OR(I1256&lt;&gt;0,H1256&lt;&gt;0),"x"," ")</f>
        <v xml:space="preserve"> </v>
      </c>
      <c r="D1256" s="338"/>
      <c r="E1256" s="358" t="str">
        <f>VLOOKUP($B1256,DG!A:D,DG!$C$2,)</f>
        <v>Kẹp ép WR cỡ dây 35mm2</v>
      </c>
      <c r="F1256" s="594" t="str">
        <f>VLOOKUP($B1256,DG!A:D,DG!$D$2,)</f>
        <v>cái</v>
      </c>
      <c r="G1256" s="595"/>
      <c r="H1256" s="355">
        <f t="shared" si="64"/>
        <v>0</v>
      </c>
      <c r="I1256" s="355">
        <f>H1256+J1256-K1256</f>
        <v>0</v>
      </c>
      <c r="J1256" s="355"/>
      <c r="K1256" s="355"/>
      <c r="L1256" s="367"/>
      <c r="M1256" s="332"/>
      <c r="N1256" s="340"/>
      <c r="O1256" s="341"/>
    </row>
    <row r="1257" spans="1:15" ht="16.2">
      <c r="B1257" s="420" t="s">
        <v>645</v>
      </c>
      <c r="C1257" s="388" t="str">
        <f>IF(OR(I1257&lt;&gt;0,H1257&lt;&gt;0),"x"," ")</f>
        <v xml:space="preserve"> </v>
      </c>
      <c r="D1257" s="338"/>
      <c r="E1257" s="358" t="str">
        <f>VLOOKUP($B1257,DG!A:D,DG!$C$2,)</f>
        <v>Kẹp ép WR cỡ dây 50mm2</v>
      </c>
      <c r="F1257" s="594" t="str">
        <f>VLOOKUP($B1257,DG!A:D,DG!$D$2,)</f>
        <v>cái</v>
      </c>
      <c r="G1257" s="595">
        <f>[3]pp3p1m!FD111</f>
        <v>0</v>
      </c>
      <c r="H1257" s="355">
        <f t="shared" si="64"/>
        <v>0</v>
      </c>
      <c r="I1257" s="355">
        <f>H1257+J1257-K1257</f>
        <v>0</v>
      </c>
      <c r="J1257" s="355"/>
      <c r="K1257" s="355"/>
      <c r="L1257" s="367"/>
      <c r="M1257" s="340"/>
      <c r="N1257" s="340"/>
      <c r="O1257" s="341"/>
    </row>
    <row r="1258" spans="1:15" ht="16.2">
      <c r="A1258" s="288"/>
      <c r="B1258" s="417" t="s">
        <v>1105</v>
      </c>
      <c r="C1258" s="388" t="str">
        <f>IF(OR(I1258&lt;&gt;0,H1258&lt;&gt;0),"x"," ")</f>
        <v xml:space="preserve"> </v>
      </c>
      <c r="D1258" s="338"/>
      <c r="E1258" s="358" t="str">
        <f>VLOOKUP($B1258,DG!A:D,DG!$C$2,)</f>
        <v>Kẹp ép WR cỡ dây 70mm2</v>
      </c>
      <c r="F1258" s="594" t="str">
        <f>VLOOKUP($B1258,DG!A:D,DG!$D$2,)</f>
        <v>cái</v>
      </c>
      <c r="G1258" s="595"/>
      <c r="H1258" s="355">
        <f t="shared" si="64"/>
        <v>0</v>
      </c>
      <c r="I1258" s="355">
        <f>H1258+J1258-K1258</f>
        <v>0</v>
      </c>
      <c r="J1258" s="355"/>
      <c r="K1258" s="355"/>
      <c r="L1258" s="367"/>
      <c r="M1258" s="332"/>
      <c r="N1258" s="340"/>
      <c r="O1258" s="341"/>
    </row>
    <row r="1259" spans="1:15" ht="16.2">
      <c r="A1259" s="288"/>
      <c r="B1259" s="417" t="s">
        <v>1003</v>
      </c>
      <c r="C1259" s="388" t="str">
        <f>IF(OR(I1259&lt;&gt;0,H1259&lt;&gt;0),"x"," ")</f>
        <v xml:space="preserve"> </v>
      </c>
      <c r="D1259" s="338"/>
      <c r="E1259" s="358" t="str">
        <f>VLOOKUP($B1259,DG!A:D,DG!$C$2,)</f>
        <v>Kẹp ép WR cỡ dây 95mm2</v>
      </c>
      <c r="F1259" s="594" t="str">
        <f>VLOOKUP($B1259,DG!A:D,DG!$D$2,)</f>
        <v>cái</v>
      </c>
      <c r="G1259" s="595"/>
      <c r="H1259" s="355">
        <f t="shared" si="64"/>
        <v>0</v>
      </c>
      <c r="I1259" s="355">
        <f>H1259+J1259-K1259</f>
        <v>0</v>
      </c>
      <c r="J1259" s="355"/>
      <c r="K1259" s="355"/>
      <c r="L1259" s="367"/>
      <c r="M1259" s="332"/>
      <c r="N1259" s="340"/>
      <c r="O1259" s="341"/>
    </row>
    <row r="1260" spans="1:15" ht="16.2">
      <c r="A1260" s="288"/>
      <c r="B1260" s="417" t="s">
        <v>1072</v>
      </c>
      <c r="C1260" s="388" t="str">
        <f>IF(OR(I1260&lt;&gt;0,H1260&lt;&gt;0),"x"," ")</f>
        <v xml:space="preserve"> </v>
      </c>
      <c r="D1260" s="338"/>
      <c r="E1260" s="358" t="str">
        <f>VLOOKUP($B1260,DG!A:D,DG!$C$2,)</f>
        <v>Kẹp ép WR cỡ dây 120mm2</v>
      </c>
      <c r="F1260" s="594" t="str">
        <f>VLOOKUP($B1260,DG!A:D,DG!$D$2,)</f>
        <v>cái</v>
      </c>
      <c r="G1260" s="595"/>
      <c r="H1260" s="355">
        <f t="shared" si="64"/>
        <v>0</v>
      </c>
      <c r="I1260" s="355">
        <f>H1260+J1260-K1260</f>
        <v>0</v>
      </c>
      <c r="J1260" s="355"/>
      <c r="K1260" s="355"/>
      <c r="L1260" s="367"/>
      <c r="M1260" s="332"/>
      <c r="N1260" s="340"/>
      <c r="O1260" s="341"/>
    </row>
    <row r="1261" spans="1:15" ht="16.2">
      <c r="A1261" s="288"/>
      <c r="B1261" s="417" t="s">
        <v>1106</v>
      </c>
      <c r="C1261" s="388" t="str">
        <f>IF(OR(I1261&lt;&gt;0,H1261&lt;&gt;0),"x"," ")</f>
        <v xml:space="preserve"> </v>
      </c>
      <c r="D1261" s="338"/>
      <c r="E1261" s="358" t="str">
        <f>VLOOKUP($B1261,DG!A:D,DG!$C$2,)</f>
        <v>Kẹp ép WR cỡ dây 150mm2</v>
      </c>
      <c r="F1261" s="594" t="str">
        <f>VLOOKUP($B1261,DG!A:D,DG!$D$2,)</f>
        <v>cái</v>
      </c>
      <c r="G1261" s="595"/>
      <c r="H1261" s="355">
        <f t="shared" si="64"/>
        <v>0</v>
      </c>
      <c r="I1261" s="355">
        <f>H1261+J1261-K1261</f>
        <v>0</v>
      </c>
      <c r="J1261" s="355"/>
      <c r="K1261" s="355"/>
      <c r="L1261" s="367"/>
      <c r="M1261" s="332"/>
      <c r="N1261" s="340"/>
      <c r="O1261" s="341"/>
    </row>
    <row r="1262" spans="1:15" ht="16.2">
      <c r="A1262" s="288"/>
      <c r="B1262" s="417" t="s">
        <v>1005</v>
      </c>
      <c r="C1262" s="388" t="str">
        <f>IF(OR(I1262&lt;&gt;0,H1262&lt;&gt;0),"x"," ")</f>
        <v xml:space="preserve"> </v>
      </c>
      <c r="D1262" s="338"/>
      <c r="E1262" s="358" t="str">
        <f>VLOOKUP($B1262,DG!A:D,DG!$C$2,)</f>
        <v>Kẹp ép WR cỡ dây 185mm2</v>
      </c>
      <c r="F1262" s="594" t="str">
        <f>VLOOKUP($B1262,DG!A:D,DG!$D$2,)</f>
        <v>cái</v>
      </c>
      <c r="G1262" s="595"/>
      <c r="H1262" s="355">
        <f t="shared" si="64"/>
        <v>0</v>
      </c>
      <c r="I1262" s="355">
        <f>H1262+J1262-K1262</f>
        <v>0</v>
      </c>
      <c r="J1262" s="355"/>
      <c r="K1262" s="355"/>
      <c r="L1262" s="367"/>
      <c r="M1262" s="332"/>
      <c r="N1262" s="340"/>
      <c r="O1262" s="341"/>
    </row>
    <row r="1263" spans="1:15" ht="16.2">
      <c r="A1263" s="288"/>
      <c r="B1263" s="417" t="s">
        <v>1073</v>
      </c>
      <c r="C1263" s="388" t="str">
        <f>IF(OR(I1263&lt;&gt;0,H1263&lt;&gt;0),"x"," ")</f>
        <v xml:space="preserve"> </v>
      </c>
      <c r="D1263" s="338"/>
      <c r="E1263" s="358" t="str">
        <f>VLOOKUP($B1263,DG!A:D,DG!$C$2,)</f>
        <v>Kẹp ép WR cỡ dây 240mm2</v>
      </c>
      <c r="F1263" s="594" t="str">
        <f>VLOOKUP($B1263,DG!A:D,DG!$D$2,)</f>
        <v>cái</v>
      </c>
      <c r="G1263" s="595"/>
      <c r="H1263" s="355">
        <f t="shared" si="64"/>
        <v>0</v>
      </c>
      <c r="I1263" s="355">
        <f>H1263+J1263-K1263</f>
        <v>0</v>
      </c>
      <c r="J1263" s="355"/>
      <c r="K1263" s="355"/>
      <c r="L1263" s="367"/>
      <c r="M1263" s="332"/>
      <c r="N1263" s="340"/>
      <c r="O1263" s="341"/>
    </row>
    <row r="1264" spans="1:15" ht="16.2">
      <c r="A1264" s="288"/>
      <c r="B1264" s="417" t="s">
        <v>998</v>
      </c>
      <c r="C1264" s="388" t="str">
        <f>IF(OR(I1264&lt;&gt;0,H1264&lt;&gt;0),"x"," ")</f>
        <v xml:space="preserve"> </v>
      </c>
      <c r="D1264" s="338"/>
      <c r="E1264" s="358" t="str">
        <f>VLOOKUP($B1264,DG!A:D,DG!$C$2,)</f>
        <v>Kẹp 2 rãnh (APC) cỡ dây 50mm2</v>
      </c>
      <c r="F1264" s="594" t="str">
        <f>VLOOKUP($B1264,DG!A:D,DG!$D$2,)</f>
        <v>cái</v>
      </c>
      <c r="G1264" s="595"/>
      <c r="H1264" s="355">
        <f t="shared" si="64"/>
        <v>0</v>
      </c>
      <c r="I1264" s="355">
        <f>H1264+J1264-K1264</f>
        <v>0</v>
      </c>
      <c r="J1264" s="355"/>
      <c r="K1264" s="355"/>
      <c r="L1264" s="367"/>
      <c r="M1264" s="332"/>
      <c r="N1264" s="340"/>
      <c r="O1264" s="341"/>
    </row>
    <row r="1265" spans="1:15" ht="16.2">
      <c r="A1265" s="288"/>
      <c r="B1265" s="417" t="s">
        <v>999</v>
      </c>
      <c r="C1265" s="388" t="str">
        <f>IF(OR(I1265&lt;&gt;0,H1265&lt;&gt;0),"x"," ")</f>
        <v xml:space="preserve"> </v>
      </c>
      <c r="D1265" s="338"/>
      <c r="E1265" s="358" t="str">
        <f>VLOOKUP($B1265,DG!A:D,DG!$C$2,)</f>
        <v>Kẹp 2 rãnh (APC) cỡ dây 70mm2</v>
      </c>
      <c r="F1265" s="594" t="str">
        <f>VLOOKUP($B1265,DG!A:D,DG!$D$2,)</f>
        <v>cái</v>
      </c>
      <c r="G1265" s="595"/>
      <c r="H1265" s="355">
        <f t="shared" si="64"/>
        <v>0</v>
      </c>
      <c r="I1265" s="355">
        <f>H1265+J1265-K1265</f>
        <v>0</v>
      </c>
      <c r="J1265" s="355"/>
      <c r="K1265" s="355"/>
      <c r="L1265" s="367"/>
      <c r="M1265" s="332"/>
      <c r="N1265" s="340"/>
      <c r="O1265" s="341"/>
    </row>
    <row r="1266" spans="1:15" ht="16.2">
      <c r="A1266" s="288"/>
      <c r="B1266" s="417" t="s">
        <v>1000</v>
      </c>
      <c r="C1266" s="388" t="str">
        <f>IF(OR(I1266&lt;&gt;0,H1266&lt;&gt;0),"x"," ")</f>
        <v xml:space="preserve"> </v>
      </c>
      <c r="D1266" s="338"/>
      <c r="E1266" s="358" t="str">
        <f>VLOOKUP($B1266,DG!A:D,DG!$C$2,)</f>
        <v>Kẹp 2 rãnh (APC) cỡ dây 95mm2</v>
      </c>
      <c r="F1266" s="594" t="str">
        <f>VLOOKUP($B1266,DG!A:D,DG!$D$2,)</f>
        <v>cái</v>
      </c>
      <c r="G1266" s="595"/>
      <c r="H1266" s="355">
        <f t="shared" si="64"/>
        <v>0</v>
      </c>
      <c r="I1266" s="355">
        <f>H1266+J1266-K1266</f>
        <v>0</v>
      </c>
      <c r="J1266" s="355"/>
      <c r="K1266" s="355"/>
      <c r="L1266" s="367"/>
      <c r="M1266" s="332"/>
      <c r="N1266" s="340"/>
      <c r="O1266" s="341"/>
    </row>
    <row r="1267" spans="1:15" ht="16.2">
      <c r="A1267" s="288"/>
      <c r="B1267" s="417" t="s">
        <v>1107</v>
      </c>
      <c r="C1267" s="388" t="str">
        <f>IF(OR(I1267&lt;&gt;0,H1267&lt;&gt;0),"x"," ")</f>
        <v xml:space="preserve"> </v>
      </c>
      <c r="D1267" s="338"/>
      <c r="E1267" s="358" t="str">
        <f>VLOOKUP($B1267,DG!A:D,DG!$C$2,)</f>
        <v>Kẹp 2 rãnh (APC) cỡ dây 150mm2</v>
      </c>
      <c r="F1267" s="594" t="str">
        <f>VLOOKUP($B1267,DG!A:D,DG!$D$2,)</f>
        <v>cái</v>
      </c>
      <c r="G1267" s="595"/>
      <c r="H1267" s="355">
        <f t="shared" si="64"/>
        <v>0</v>
      </c>
      <c r="I1267" s="355">
        <f>H1267+J1267-K1267</f>
        <v>0</v>
      </c>
      <c r="J1267" s="355"/>
      <c r="K1267" s="355"/>
      <c r="L1267" s="367"/>
      <c r="M1267" s="332"/>
      <c r="N1267" s="340"/>
      <c r="O1267" s="341"/>
    </row>
    <row r="1268" spans="1:15" ht="16.2">
      <c r="A1268" s="288"/>
      <c r="B1268" s="417" t="s">
        <v>1108</v>
      </c>
      <c r="C1268" s="388" t="str">
        <f>IF(OR(I1268&lt;&gt;0,H1268&lt;&gt;0),"x"," ")</f>
        <v xml:space="preserve"> </v>
      </c>
      <c r="D1268" s="338"/>
      <c r="E1268" s="358" t="str">
        <f>VLOOKUP($B1268,DG!A:D,DG!$C$2,)</f>
        <v>Kẹp 2 rãnh (APC) cỡ dây 185mm2</v>
      </c>
      <c r="F1268" s="594" t="str">
        <f>VLOOKUP($B1268,DG!A:D,DG!$D$2,)</f>
        <v>cái</v>
      </c>
      <c r="G1268" s="595"/>
      <c r="H1268" s="355">
        <f t="shared" si="64"/>
        <v>0</v>
      </c>
      <c r="I1268" s="355">
        <f>H1268+J1268-K1268</f>
        <v>0</v>
      </c>
      <c r="J1268" s="355"/>
      <c r="K1268" s="355"/>
      <c r="L1268" s="367"/>
      <c r="M1268" s="332"/>
      <c r="N1268" s="340"/>
      <c r="O1268" s="341"/>
    </row>
    <row r="1269" spans="1:15" ht="16.2">
      <c r="A1269" s="288"/>
      <c r="B1269" s="417" t="s">
        <v>998</v>
      </c>
      <c r="C1269" s="388" t="str">
        <f>IF(OR(I1269&lt;&gt;0,H1269&lt;&gt;0),"x"," ")</f>
        <v xml:space="preserve"> </v>
      </c>
      <c r="D1269" s="338"/>
      <c r="E1269" s="358" t="str">
        <f>VLOOKUP($B1269,DG!A:D,DG!$C$2,)</f>
        <v>Kẹp 2 rãnh (APC) cỡ dây 50mm2</v>
      </c>
      <c r="F1269" s="594" t="str">
        <f>VLOOKUP($B1269,DG!A:D,DG!$D$2,)</f>
        <v>cái</v>
      </c>
      <c r="G1269" s="595"/>
      <c r="H1269" s="355">
        <f t="shared" si="64"/>
        <v>0</v>
      </c>
      <c r="I1269" s="355">
        <f>H1269+J1269-K1269</f>
        <v>0</v>
      </c>
      <c r="J1269" s="355"/>
      <c r="K1269" s="355"/>
      <c r="L1269" s="367"/>
      <c r="M1269" s="332"/>
      <c r="N1269" s="340"/>
      <c r="O1269" s="341"/>
    </row>
    <row r="1270" spans="1:15" ht="16.2">
      <c r="A1270" s="288"/>
      <c r="B1270" s="417" t="s">
        <v>1109</v>
      </c>
      <c r="C1270" s="388" t="str">
        <f>IF(OR(I1270&lt;&gt;0,H1270&lt;&gt;0),"x"," ")</f>
        <v xml:space="preserve"> </v>
      </c>
      <c r="D1270" s="338" t="str">
        <f>VLOOKUP($B1270,DG!A:D,DG!$B$2,)</f>
        <v>03.4002</v>
      </c>
      <c r="E1270" s="358" t="str">
        <f>VLOOKUP($B1270,DG!A:D,DG!$C$2,)</f>
        <v>Đầu cosse ép Cu-Al 50mm2</v>
      </c>
      <c r="F1270" s="594" t="str">
        <f>VLOOKUP($B1270,DG!A:D,DG!$D$2,)</f>
        <v>cái</v>
      </c>
      <c r="G1270" s="595"/>
      <c r="H1270" s="355">
        <f>$G1270</f>
        <v>0</v>
      </c>
      <c r="I1270" s="355">
        <f>H1270+J1270-K1270</f>
        <v>0</v>
      </c>
      <c r="J1270" s="355"/>
      <c r="K1270" s="355"/>
      <c r="L1270" s="367"/>
      <c r="M1270" s="332"/>
      <c r="N1270" s="340"/>
      <c r="O1270" s="341"/>
    </row>
    <row r="1271" spans="1:15" ht="16.2">
      <c r="A1271" s="288"/>
      <c r="B1271" s="417" t="s">
        <v>1110</v>
      </c>
      <c r="C1271" s="388" t="str">
        <f>IF(OR(I1271&lt;&gt;0,H1271&lt;&gt;0),"x"," ")</f>
        <v xml:space="preserve"> </v>
      </c>
      <c r="D1271" s="338" t="str">
        <f>VLOOKUP($B1271,DG!A:D,DG!$B$2,)</f>
        <v>03.4004</v>
      </c>
      <c r="E1271" s="358" t="str">
        <f>VLOOKUP($B1271,DG!A:D,DG!$C$2,)</f>
        <v>Đầu cosse ép Cu 95mm2</v>
      </c>
      <c r="F1271" s="594" t="str">
        <f>VLOOKUP($B1271,DG!A:D,DG!$D$2,)</f>
        <v>cái</v>
      </c>
      <c r="G1271" s="595"/>
      <c r="H1271" s="355">
        <f t="shared" si="64"/>
        <v>0</v>
      </c>
      <c r="I1271" s="355">
        <f>H1271+J1271-K1271</f>
        <v>0</v>
      </c>
      <c r="J1271" s="355"/>
      <c r="K1271" s="355"/>
      <c r="L1271" s="367"/>
      <c r="M1271" s="332"/>
      <c r="N1271" s="340"/>
      <c r="O1271" s="341"/>
    </row>
    <row r="1272" spans="1:15" ht="16.2">
      <c r="A1272" s="288"/>
      <c r="B1272" s="417" t="s">
        <v>1111</v>
      </c>
      <c r="C1272" s="388" t="str">
        <f>IF(OR(I1272&lt;&gt;0,H1272&lt;&gt;0),"x"," ")</f>
        <v xml:space="preserve"> </v>
      </c>
      <c r="D1272" s="338" t="str">
        <f>VLOOKUP($B1272,DG!A:D,DG!$B$2,)</f>
        <v>03.4005</v>
      </c>
      <c r="E1272" s="358" t="str">
        <f>VLOOKUP($B1272,DG!A:D,DG!$C$2,)</f>
        <v>Đầu cosse ép Cu 120mm2</v>
      </c>
      <c r="F1272" s="594" t="str">
        <f>VLOOKUP($B1272,DG!A:D,DG!$D$2,)</f>
        <v>cái</v>
      </c>
      <c r="G1272" s="595"/>
      <c r="H1272" s="355">
        <f t="shared" si="64"/>
        <v>0</v>
      </c>
      <c r="I1272" s="355">
        <f>H1272+J1272-K1272</f>
        <v>0</v>
      </c>
      <c r="J1272" s="355"/>
      <c r="K1272" s="355"/>
      <c r="L1272" s="367"/>
      <c r="M1272" s="332"/>
      <c r="N1272" s="340"/>
      <c r="O1272" s="341"/>
    </row>
    <row r="1273" spans="1:15" ht="16.2">
      <c r="A1273" s="288"/>
      <c r="B1273" s="417" t="s">
        <v>1112</v>
      </c>
      <c r="C1273" s="388" t="str">
        <f>IF(OR(I1273&lt;&gt;0,H1273&lt;&gt;0),"x"," ")</f>
        <v xml:space="preserve"> </v>
      </c>
      <c r="D1273" s="338" t="str">
        <f>VLOOKUP($B1273,DG!A:D,DG!$B$2,)</f>
        <v>03.4006</v>
      </c>
      <c r="E1273" s="358" t="str">
        <f>VLOOKUP($B1273,DG!A:D,DG!$C$2,)</f>
        <v>Đầu cosse ép Cu 150mm2</v>
      </c>
      <c r="F1273" s="594" t="str">
        <f>VLOOKUP($B1273,DG!A:D,DG!$D$2,)</f>
        <v>cái</v>
      </c>
      <c r="G1273" s="595"/>
      <c r="H1273" s="355">
        <f t="shared" si="64"/>
        <v>0</v>
      </c>
      <c r="I1273" s="355">
        <f>H1273+J1273-K1273</f>
        <v>0</v>
      </c>
      <c r="J1273" s="355"/>
      <c r="K1273" s="355"/>
      <c r="L1273" s="367"/>
      <c r="M1273" s="332"/>
      <c r="N1273" s="340"/>
      <c r="O1273" s="341"/>
    </row>
    <row r="1274" spans="1:15" ht="16.2">
      <c r="A1274" s="288"/>
      <c r="B1274" s="417" t="s">
        <v>1011</v>
      </c>
      <c r="C1274" s="388" t="str">
        <f>IF(OR(I1274&lt;&gt;0,H1274&lt;&gt;0),"x"," ")</f>
        <v xml:space="preserve"> </v>
      </c>
      <c r="D1274" s="338" t="str">
        <f>VLOOKUP($B1274,DG!A:D,DG!$B$2,)</f>
        <v>03.4007</v>
      </c>
      <c r="E1274" s="358" t="str">
        <f>VLOOKUP($B1274,DG!A:D,DG!$C$2,)</f>
        <v>Đầu cosse ép Cu-Al 185mm2</v>
      </c>
      <c r="F1274" s="594" t="str">
        <f>VLOOKUP($B1274,DG!A:D,DG!$D$2,)</f>
        <v>cái</v>
      </c>
      <c r="G1274" s="595"/>
      <c r="H1274" s="355">
        <f t="shared" si="64"/>
        <v>0</v>
      </c>
      <c r="I1274" s="355">
        <f>H1274+J1274-K1274</f>
        <v>0</v>
      </c>
      <c r="J1274" s="355"/>
      <c r="K1274" s="355"/>
      <c r="L1274" s="367"/>
      <c r="M1274" s="332"/>
      <c r="N1274" s="340"/>
      <c r="O1274" s="341"/>
    </row>
    <row r="1275" spans="1:15" ht="16.2">
      <c r="A1275" s="288"/>
      <c r="B1275" s="417" t="s">
        <v>1012</v>
      </c>
      <c r="C1275" s="388" t="str">
        <f>IF(OR(I1275&lt;&gt;0,H1275&lt;&gt;0),"x"," ")</f>
        <v xml:space="preserve"> </v>
      </c>
      <c r="D1275" s="338" t="str">
        <f>VLOOKUP($B1275,DG!A:D,DG!$B$2,)</f>
        <v>03.4008</v>
      </c>
      <c r="E1275" s="358" t="str">
        <f>VLOOKUP($B1275,DG!A:D,DG!$C$2,)</f>
        <v>Đầu cosse ép Cu-Al 240mm2</v>
      </c>
      <c r="F1275" s="594" t="str">
        <f>VLOOKUP($B1275,DG!A:D,DG!$D$2,)</f>
        <v>cái</v>
      </c>
      <c r="G1275" s="595"/>
      <c r="H1275" s="355">
        <f t="shared" si="64"/>
        <v>0</v>
      </c>
      <c r="I1275" s="355">
        <f>H1275+J1275-K1275</f>
        <v>0</v>
      </c>
      <c r="J1275" s="355"/>
      <c r="K1275" s="355"/>
      <c r="L1275" s="367"/>
      <c r="M1275" s="332"/>
      <c r="N1275" s="340"/>
      <c r="O1275" s="341"/>
    </row>
    <row r="1276" spans="1:15" ht="16.2">
      <c r="A1276" s="288"/>
      <c r="B1276" s="417" t="s">
        <v>1013</v>
      </c>
      <c r="C1276" s="388" t="str">
        <f>IF(OR(I1276&lt;&gt;0,H1276&lt;&gt;0),"x"," ")</f>
        <v xml:space="preserve"> </v>
      </c>
      <c r="D1276" s="338">
        <f>VLOOKUP($B1276,DG!A:D,DG!$B$2,)</f>
        <v>0</v>
      </c>
      <c r="E1276" s="358" t="str">
        <f>VLOOKUP($B1276,DG!A:D,DG!$C$2,)</f>
        <v>Boulon 12x30</v>
      </c>
      <c r="F1276" s="594" t="str">
        <f>VLOOKUP($B1276,DG!A:D,DG!$D$2,)</f>
        <v>bộ</v>
      </c>
      <c r="G1276" s="595"/>
      <c r="H1276" s="355">
        <f t="shared" si="64"/>
        <v>0</v>
      </c>
      <c r="I1276" s="355">
        <f>H1276+J1276-K1276</f>
        <v>0</v>
      </c>
      <c r="J1276" s="355"/>
      <c r="K1276" s="355"/>
      <c r="L1276" s="367"/>
      <c r="M1276" s="332"/>
      <c r="N1276" s="340"/>
      <c r="O1276" s="341"/>
    </row>
    <row r="1277" spans="1:15" ht="16.2">
      <c r="B1277" s="351" t="s">
        <v>1113</v>
      </c>
      <c r="C1277" s="388" t="str">
        <f>IF(OR(I1277&lt;&gt;0,H1277&lt;&gt;0),"x"," ")</f>
        <v xml:space="preserve"> </v>
      </c>
      <c r="D1277" s="338" t="str">
        <f>VLOOKUP($B1277,DG!A:D,DG!$B$2,)</f>
        <v>04.3007</v>
      </c>
      <c r="E1277" s="358" t="str">
        <f>VLOOKUP($B1277,DG!A:D,DG!$C$2,)</f>
        <v>Kẹp quai 2/0 + chụp cách điện</v>
      </c>
      <c r="F1277" s="594" t="str">
        <f>VLOOKUP($B1277,DG!A:D,DG!$D$2,)</f>
        <v>bộ</v>
      </c>
      <c r="G1277" s="595">
        <f>[3]pp3p1m!EY111</f>
        <v>0</v>
      </c>
      <c r="H1277" s="355">
        <f t="shared" si="64"/>
        <v>0</v>
      </c>
      <c r="I1277" s="355">
        <f>H1277+J1277-K1277</f>
        <v>0</v>
      </c>
      <c r="J1277" s="355"/>
      <c r="K1277" s="355"/>
      <c r="L1277" s="367"/>
      <c r="M1277" s="340"/>
      <c r="N1277" s="340"/>
      <c r="O1277" s="341"/>
    </row>
    <row r="1278" spans="1:15" ht="16.2">
      <c r="A1278" s="288"/>
      <c r="B1278" s="351" t="s">
        <v>1014</v>
      </c>
      <c r="C1278" s="388" t="str">
        <f>IF(OR(I1278&lt;&gt;0,H1278&lt;&gt;0),"x"," ")</f>
        <v xml:space="preserve"> </v>
      </c>
      <c r="D1278" s="338" t="str">
        <f>VLOOKUP($B1278,DG!A:D,DG!$B$2,)</f>
        <v>04.3007</v>
      </c>
      <c r="E1278" s="358" t="str">
        <f>VLOOKUP($B1278,DG!A:D,DG!$C$2,)</f>
        <v>Kẹp quai 4/0</v>
      </c>
      <c r="F1278" s="594" t="str">
        <f>VLOOKUP($B1278,DG!A:D,DG!$D$2,)</f>
        <v>cái</v>
      </c>
      <c r="G1278" s="595"/>
      <c r="H1278" s="355">
        <f t="shared" si="64"/>
        <v>0</v>
      </c>
      <c r="I1278" s="355">
        <f>H1278+J1278-K1278</f>
        <v>0</v>
      </c>
      <c r="J1278" s="355"/>
      <c r="K1278" s="355"/>
      <c r="L1278" s="367"/>
      <c r="M1278" s="332"/>
      <c r="N1278" s="340"/>
      <c r="O1278" s="341"/>
    </row>
    <row r="1279" spans="1:15" ht="16.2">
      <c r="B1279" s="351" t="s">
        <v>1002</v>
      </c>
      <c r="C1279" s="388" t="str">
        <f>IF(OR(I1279&lt;&gt;0,H1279&lt;&gt;0),"x"," ")</f>
        <v xml:space="preserve"> </v>
      </c>
      <c r="D1279" s="338" t="str">
        <f>VLOOKUP($B1279,DG!A:D,DG!$B$2,)</f>
        <v>04.3007</v>
      </c>
      <c r="E1279" s="358" t="str">
        <f>VLOOKUP($B1279,DG!A:D,DG!$C$2,)</f>
        <v>Kẹp hotline 2/0</v>
      </c>
      <c r="F1279" s="594" t="str">
        <f>VLOOKUP($B1279,DG!A:D,DG!$D$2,)</f>
        <v>cái</v>
      </c>
      <c r="G1279" s="595">
        <f>[3]pp3p1m!EZ111</f>
        <v>0</v>
      </c>
      <c r="H1279" s="355">
        <f t="shared" si="64"/>
        <v>0</v>
      </c>
      <c r="I1279" s="355">
        <f>H1279+J1279-K1279</f>
        <v>0</v>
      </c>
      <c r="J1279" s="355"/>
      <c r="K1279" s="355"/>
      <c r="L1279" s="367"/>
      <c r="M1279" s="340"/>
      <c r="N1279" s="340"/>
      <c r="O1279" s="341"/>
    </row>
    <row r="1280" spans="1:15" ht="16.2">
      <c r="A1280" s="288"/>
      <c r="B1280" s="351" t="s">
        <v>1015</v>
      </c>
      <c r="C1280" s="388" t="str">
        <f>IF(OR(I1280&lt;&gt;0,H1280&lt;&gt;0),"x"," ")</f>
        <v xml:space="preserve"> </v>
      </c>
      <c r="D1280" s="338" t="str">
        <f>VLOOKUP($B1280,DG!A:D,DG!$B$2,)</f>
        <v>04.3007</v>
      </c>
      <c r="E1280" s="358" t="str">
        <f>VLOOKUP($B1280,DG!A:D,DG!$C$2,)</f>
        <v>Kẹp hotline 4/0</v>
      </c>
      <c r="F1280" s="594" t="str">
        <f>VLOOKUP($B1280,DG!A:D,DG!$D$2,)</f>
        <v>cái</v>
      </c>
      <c r="G1280" s="595"/>
      <c r="H1280" s="355">
        <f t="shared" si="64"/>
        <v>0</v>
      </c>
      <c r="I1280" s="355">
        <f>H1280+J1280-K1280</f>
        <v>0</v>
      </c>
      <c r="J1280" s="355"/>
      <c r="K1280" s="355"/>
      <c r="L1280" s="367"/>
      <c r="M1280" s="332"/>
      <c r="N1280" s="340"/>
      <c r="O1280" s="341"/>
    </row>
    <row r="1281" spans="1:15" ht="16.2">
      <c r="A1281" s="288"/>
      <c r="B1281" s="351" t="s">
        <v>1108</v>
      </c>
      <c r="C1281" s="388" t="str">
        <f>IF(OR(I1281&lt;&gt;0,H1281&lt;&gt;0),"x"," ")</f>
        <v xml:space="preserve"> </v>
      </c>
      <c r="D1281" s="338"/>
      <c r="E1281" s="358" t="str">
        <f>VLOOKUP($B1281,DG!A:D,DG!$C$2,)</f>
        <v>Kẹp 2 rãnh (APC) cỡ dây 185mm2</v>
      </c>
      <c r="F1281" s="594" t="str">
        <f>VLOOKUP($B1281,DG!A:D,DG!$D$2,)</f>
        <v>cái</v>
      </c>
      <c r="G1281" s="595"/>
      <c r="H1281" s="355">
        <f t="shared" si="64"/>
        <v>0</v>
      </c>
      <c r="I1281" s="355">
        <f>H1281+J1281-K1281</f>
        <v>0</v>
      </c>
      <c r="J1281" s="355"/>
      <c r="K1281" s="355"/>
      <c r="L1281" s="367"/>
      <c r="M1281" s="332"/>
      <c r="N1281" s="340"/>
      <c r="O1281" s="341"/>
    </row>
    <row r="1282" spans="1:15" ht="16.2">
      <c r="A1282" s="288"/>
      <c r="B1282" s="351" t="s">
        <v>1114</v>
      </c>
      <c r="C1282" s="388"/>
      <c r="D1282" s="434"/>
      <c r="E1282" s="425" t="str">
        <f>VLOOKUP($B1282,DG!A:D,DG!$C$2,)&amp;" : đấu nối đầu nhánh"</f>
        <v>Cáp 24KV C/XLPE/PVC 25mm2 : đấu nối đầu nhánh</v>
      </c>
      <c r="F1282" s="594" t="str">
        <f>VLOOKUP($B1282,DG!A:D,DG!$D$2,)</f>
        <v>mét</v>
      </c>
      <c r="G1282" s="595"/>
      <c r="H1282" s="355">
        <f t="shared" si="64"/>
        <v>0</v>
      </c>
      <c r="I1282" s="355">
        <f>H1282+J1282-K1282</f>
        <v>0</v>
      </c>
      <c r="J1282" s="355"/>
      <c r="K1282" s="355"/>
      <c r="L1282" s="367"/>
      <c r="M1282" s="332"/>
      <c r="N1282" s="340"/>
      <c r="O1282" s="341"/>
    </row>
    <row r="1283" spans="1:15" ht="16.2">
      <c r="B1283" s="351" t="s">
        <v>1114</v>
      </c>
      <c r="C1283" s="388" t="str">
        <f>IF(OR(I1283&lt;&gt;0,H1283&lt;&gt;0),"x"," ")</f>
        <v xml:space="preserve"> </v>
      </c>
      <c r="D1283" s="434"/>
      <c r="E1283" s="358" t="str">
        <f>VLOOKUP($B1283,DG!A:D,DG!$C$2,)&amp;" : đấu nối FCO"</f>
        <v>Cáp 24KV C/XLPE/PVC 25mm2 : đấu nối FCO</v>
      </c>
      <c r="F1283" s="594" t="str">
        <f>VLOOKUP($B1283,DG!A:D,DG!$D$2,)</f>
        <v>mét</v>
      </c>
      <c r="G1283" s="595"/>
      <c r="H1283" s="355">
        <f>$G1283</f>
        <v>0</v>
      </c>
      <c r="I1283" s="355">
        <f>H1283+J1283-K1283</f>
        <v>0</v>
      </c>
      <c r="J1283" s="355"/>
      <c r="K1283" s="355"/>
      <c r="L1283" s="367"/>
      <c r="M1283" s="340"/>
      <c r="N1283" s="340"/>
      <c r="O1283" s="341"/>
    </row>
    <row r="1284" spans="1:15" ht="16.2">
      <c r="B1284" s="351" t="s">
        <v>1115</v>
      </c>
      <c r="C1284" s="388" t="str">
        <f>IF(OR(I1284&lt;&gt;0,H1284&lt;&gt;0),"x"," ")</f>
        <v xml:space="preserve"> </v>
      </c>
      <c r="D1284" s="434"/>
      <c r="E1284" s="358" t="str">
        <f>VLOOKUP($B1284,DG!A:D,DG!$C$2,)</f>
        <v>Nắp chụp kẹp quai + hotline</v>
      </c>
      <c r="F1284" s="594" t="str">
        <f>VLOOKUP($B1284,DG!A:D,DG!$D$2,)</f>
        <v>bộ</v>
      </c>
      <c r="G1284" s="595"/>
      <c r="H1284" s="355">
        <f>$G1284</f>
        <v>0</v>
      </c>
      <c r="I1284" s="355">
        <f>H1284+J1284-K1284</f>
        <v>0</v>
      </c>
      <c r="J1284" s="355"/>
      <c r="K1284" s="355"/>
      <c r="L1284" s="367"/>
      <c r="M1284" s="340"/>
      <c r="N1284" s="340"/>
      <c r="O1284" s="341"/>
    </row>
    <row r="1285" spans="1:15" ht="16.2">
      <c r="A1285" s="288"/>
      <c r="B1285" s="351" t="s">
        <v>1016</v>
      </c>
      <c r="C1285" s="388" t="str">
        <f>IF(OR(I1285&lt;&gt;0,H1285&lt;&gt;0),"x"," ")</f>
        <v xml:space="preserve"> </v>
      </c>
      <c r="D1285" s="338"/>
      <c r="E1285" s="358" t="str">
        <f>VLOOKUP($B1285,DG!A:D,DG!$C$2,)</f>
        <v>Ống nối dây cỡ 50mm2</v>
      </c>
      <c r="F1285" s="594" t="str">
        <f>VLOOKUP($B1285,DG!A:D,DG!$D$2,)</f>
        <v>cái</v>
      </c>
      <c r="G1285" s="595">
        <f>ROUND((D1165)*1.03/1500,0)*10</f>
        <v>0</v>
      </c>
      <c r="H1285" s="355">
        <f t="shared" ref="H1285:H1306" si="66">$G1285</f>
        <v>0</v>
      </c>
      <c r="I1285" s="355">
        <f>H1285+J1285-K1285</f>
        <v>0</v>
      </c>
      <c r="J1285" s="355"/>
      <c r="K1285" s="355"/>
      <c r="L1285" s="367"/>
      <c r="M1285" s="332"/>
      <c r="N1285" s="340"/>
      <c r="O1285" s="341"/>
    </row>
    <row r="1286" spans="1:15" ht="16.2">
      <c r="A1286" s="288"/>
      <c r="B1286" s="351" t="s">
        <v>1017</v>
      </c>
      <c r="C1286" s="388" t="str">
        <f>IF(OR(I1286&lt;&gt;0,H1286&lt;&gt;0),"x"," ")</f>
        <v xml:space="preserve"> </v>
      </c>
      <c r="D1286" s="338"/>
      <c r="E1286" s="358" t="str">
        <f>VLOOKUP($B1286,DG!A:D,DG!$C$2,)</f>
        <v>Ống nối dây cỡ 70mm2</v>
      </c>
      <c r="F1286" s="594" t="str">
        <f>VLOOKUP($B1286,DG!A:D,DG!$D$2,)</f>
        <v>cái</v>
      </c>
      <c r="G1286" s="595">
        <f>ROUND((D1164+D1176)*1.03/1400,0)</f>
        <v>0</v>
      </c>
      <c r="H1286" s="355">
        <f t="shared" si="66"/>
        <v>0</v>
      </c>
      <c r="I1286" s="355">
        <f>H1286+J1286-K1286</f>
        <v>0</v>
      </c>
      <c r="J1286" s="355"/>
      <c r="K1286" s="355"/>
      <c r="L1286" s="367"/>
      <c r="M1286" s="332"/>
      <c r="N1286" s="340"/>
      <c r="O1286" s="341"/>
    </row>
    <row r="1287" spans="1:15" ht="16.2">
      <c r="A1287" s="288"/>
      <c r="B1287" s="351" t="s">
        <v>1018</v>
      </c>
      <c r="C1287" s="388" t="str">
        <f>IF(OR(I1287&lt;&gt;0,H1287&lt;&gt;0),"x"," ")</f>
        <v xml:space="preserve"> </v>
      </c>
      <c r="D1287" s="338"/>
      <c r="E1287" s="358" t="str">
        <f>VLOOKUP($B1287,DG!A:D,DG!$C$2,)</f>
        <v>Ống nối dây cỡ 95mm2</v>
      </c>
      <c r="F1287" s="594" t="str">
        <f>VLOOKUP($B1287,DG!A:D,DG!$D$2,)</f>
        <v>cái</v>
      </c>
      <c r="G1287" s="595">
        <f>ROUND((D1163+D1171)*1.03/1200,0)</f>
        <v>0</v>
      </c>
      <c r="H1287" s="355">
        <f t="shared" si="66"/>
        <v>0</v>
      </c>
      <c r="I1287" s="355">
        <f>H1287+J1287-K1287</f>
        <v>0</v>
      </c>
      <c r="J1287" s="355"/>
      <c r="K1287" s="355"/>
      <c r="L1287" s="367"/>
      <c r="M1287" s="332"/>
      <c r="N1287" s="340"/>
      <c r="O1287" s="341"/>
    </row>
    <row r="1288" spans="1:15" ht="16.2">
      <c r="A1288" s="288"/>
      <c r="B1288" s="351" t="s">
        <v>1019</v>
      </c>
      <c r="C1288" s="388" t="str">
        <f>IF(OR(I1288&lt;&gt;0,H1288&lt;&gt;0),"x"," ")</f>
        <v xml:space="preserve"> </v>
      </c>
      <c r="D1288" s="338"/>
      <c r="E1288" s="358" t="str">
        <f>VLOOKUP($B1288,DG!A:D,DG!$C$2,)</f>
        <v>Ống nối dây cỡ 120mm2</v>
      </c>
      <c r="F1288" s="594" t="str">
        <f>VLOOKUP($B1288,DG!A:D,DG!$D$2,)</f>
        <v>cái</v>
      </c>
      <c r="G1288" s="595">
        <f>ROUND((D1162+D1170)*1.03/1200,0)</f>
        <v>0</v>
      </c>
      <c r="H1288" s="355">
        <f t="shared" si="66"/>
        <v>0</v>
      </c>
      <c r="I1288" s="355">
        <f>H1288+J1288-K1288</f>
        <v>0</v>
      </c>
      <c r="J1288" s="355"/>
      <c r="K1288" s="355"/>
      <c r="L1288" s="367"/>
      <c r="M1288" s="332"/>
      <c r="N1288" s="340"/>
      <c r="O1288" s="341"/>
    </row>
    <row r="1289" spans="1:15" ht="16.2">
      <c r="A1289" s="288"/>
      <c r="B1289" s="351" t="s">
        <v>1020</v>
      </c>
      <c r="C1289" s="388" t="str">
        <f>IF(OR(I1289&lt;&gt;0,H1289&lt;&gt;0),"x"," ")</f>
        <v xml:space="preserve"> </v>
      </c>
      <c r="D1289" s="338"/>
      <c r="E1289" s="358" t="str">
        <f>VLOOKUP($B1289,DG!A:D,DG!$C$2,)</f>
        <v>Ống nối dây cỡ 150mm2</v>
      </c>
      <c r="F1289" s="594" t="str">
        <f>VLOOKUP($B1289,DG!A:D,DG!$D$2,)</f>
        <v>cái</v>
      </c>
      <c r="G1289" s="595">
        <f>ROUND((D1161+D1169)*1.03/1200,0)</f>
        <v>0</v>
      </c>
      <c r="H1289" s="355">
        <f t="shared" si="66"/>
        <v>0</v>
      </c>
      <c r="I1289" s="355">
        <f>H1289+J1289-K1289</f>
        <v>0</v>
      </c>
      <c r="J1289" s="355"/>
      <c r="K1289" s="355"/>
      <c r="L1289" s="367"/>
      <c r="M1289" s="332"/>
      <c r="N1289" s="340"/>
      <c r="O1289" s="341"/>
    </row>
    <row r="1290" spans="1:15" ht="16.2">
      <c r="A1290" s="288"/>
      <c r="B1290" s="351" t="s">
        <v>1021</v>
      </c>
      <c r="C1290" s="388" t="str">
        <f>IF(OR(I1290&lt;&gt;0,H1290&lt;&gt;0),"x"," ")</f>
        <v xml:space="preserve"> </v>
      </c>
      <c r="D1290" s="338"/>
      <c r="E1290" s="358" t="str">
        <f>VLOOKUP($B1290,DG!A:D,DG!$C$2,)</f>
        <v>Ống nối dây cỡ 185mm2</v>
      </c>
      <c r="F1290" s="594" t="str">
        <f>VLOOKUP($B1290,DG!A:D,DG!$D$2,)</f>
        <v>cái</v>
      </c>
      <c r="G1290" s="595">
        <f>ROUND((D1160+D1168)*1.03/1200,0)</f>
        <v>0</v>
      </c>
      <c r="H1290" s="355">
        <f t="shared" si="66"/>
        <v>0</v>
      </c>
      <c r="I1290" s="355">
        <f>H1290+J1290-K1290</f>
        <v>0</v>
      </c>
      <c r="J1290" s="355"/>
      <c r="K1290" s="355"/>
      <c r="L1290" s="367"/>
      <c r="M1290" s="332"/>
      <c r="N1290" s="340"/>
      <c r="O1290" s="341"/>
    </row>
    <row r="1291" spans="1:15" ht="16.2">
      <c r="A1291" s="288"/>
      <c r="B1291" s="351" t="s">
        <v>1022</v>
      </c>
      <c r="C1291" s="388" t="str">
        <f>IF(OR(I1291&lt;&gt;0,H1291&lt;&gt;0),"x"," ")</f>
        <v xml:space="preserve"> </v>
      </c>
      <c r="D1291" s="338"/>
      <c r="E1291" s="358" t="str">
        <f>VLOOKUP($B1291,DG!A:D,DG!$C$2,)</f>
        <v>Ống nối dây cỡ 240mm2</v>
      </c>
      <c r="F1291" s="594" t="str">
        <f>VLOOKUP($B1291,DG!A:D,DG!$D$2,)</f>
        <v>cái</v>
      </c>
      <c r="G1291" s="595">
        <f>ROUND((D1159+D1167)*1.03/1200,0)</f>
        <v>0</v>
      </c>
      <c r="H1291" s="355">
        <f t="shared" si="66"/>
        <v>0</v>
      </c>
      <c r="I1291" s="355">
        <f>H1291+J1291-K1291</f>
        <v>0</v>
      </c>
      <c r="J1291" s="355"/>
      <c r="K1291" s="355"/>
      <c r="L1291" s="367"/>
      <c r="M1291" s="332"/>
      <c r="N1291" s="340"/>
      <c r="O1291" s="341"/>
    </row>
    <row r="1292" spans="1:15" ht="16.2">
      <c r="A1292" s="288"/>
      <c r="B1292" s="351" t="s">
        <v>1116</v>
      </c>
      <c r="C1292" s="388" t="str">
        <f>IF(OR(I1292&lt;&gt;0,H1292&lt;&gt;0),"x"," ")</f>
        <v xml:space="preserve"> </v>
      </c>
      <c r="D1292" s="338"/>
      <c r="E1292" s="358" t="str">
        <f>VLOOKUP($B1292,DG!A:D,DG!$C$2,)</f>
        <v>Cổ dê trụ đôi bắt sứ treo</v>
      </c>
      <c r="F1292" s="594" t="str">
        <f>VLOOKUP($B1292,DG!A:D,DG!$D$2,)</f>
        <v>bộ</v>
      </c>
      <c r="G1292" s="595"/>
      <c r="H1292" s="355">
        <f t="shared" si="66"/>
        <v>0</v>
      </c>
      <c r="I1292" s="355">
        <f>H1292+J1292-K1292</f>
        <v>0</v>
      </c>
      <c r="J1292" s="355"/>
      <c r="K1292" s="355"/>
      <c r="L1292" s="367"/>
      <c r="M1292" s="332"/>
      <c r="N1292" s="340"/>
      <c r="O1292" s="341"/>
    </row>
    <row r="1293" spans="1:15" ht="16.2">
      <c r="A1293" s="288"/>
      <c r="B1293" s="351" t="s">
        <v>1085</v>
      </c>
      <c r="C1293" s="388" t="str">
        <f>IF(OR(I1293&lt;&gt;0,H1293&lt;&gt;0),"x"," ")</f>
        <v xml:space="preserve"> </v>
      </c>
      <c r="D1293" s="338"/>
      <c r="E1293" s="358" t="str">
        <f>VLOOKUP($B1293,DG!A:D,DG!$C$2,)&amp;": bắt xà trụ ghép"</f>
        <v>Boulon 16x600VRS+ 4 long đền vuông D18-50x50x3/Zn: bắt xà trụ ghép</v>
      </c>
      <c r="F1293" s="594" t="str">
        <f>VLOOKUP($B1293,DG!A:D,DG!$D$2,)</f>
        <v>bộ</v>
      </c>
      <c r="G1293" s="595"/>
      <c r="H1293" s="355">
        <f t="shared" si="66"/>
        <v>0</v>
      </c>
      <c r="I1293" s="355">
        <f>H1293+J1293-K1293</f>
        <v>0</v>
      </c>
      <c r="J1293" s="355"/>
      <c r="K1293" s="355"/>
      <c r="L1293" s="367"/>
      <c r="M1293" s="332"/>
      <c r="N1293" s="340"/>
      <c r="O1293" s="341"/>
    </row>
    <row r="1294" spans="1:15" ht="16.2">
      <c r="A1294" s="288"/>
      <c r="B1294" s="351" t="s">
        <v>1117</v>
      </c>
      <c r="C1294" s="388" t="str">
        <f>IF(OR(I1294&lt;&gt;0,H1294&lt;&gt;0),"x"," ")</f>
        <v xml:space="preserve"> </v>
      </c>
      <c r="D1294" s="338"/>
      <c r="E1294" s="358" t="str">
        <f>VLOOKUP($B1294,DG!A:D,DG!$C$2,)&amp;": bắt trụ đôi"</f>
        <v>Boulon 16x500VRS+ 4 long đền vuông D18-50x50x3/Zn: bắt trụ đôi</v>
      </c>
      <c r="F1294" s="594" t="str">
        <f>VLOOKUP($B1294,DG!A:D,DG!$D$2,)</f>
        <v>bộ</v>
      </c>
      <c r="G1294" s="595"/>
      <c r="H1294" s="355">
        <f t="shared" si="66"/>
        <v>0</v>
      </c>
      <c r="I1294" s="355">
        <f>H1294+J1294-K1294</f>
        <v>0</v>
      </c>
      <c r="J1294" s="355"/>
      <c r="K1294" s="355"/>
      <c r="L1294" s="367"/>
      <c r="M1294" s="332"/>
      <c r="N1294" s="340"/>
      <c r="O1294" s="341"/>
    </row>
    <row r="1295" spans="1:15" ht="16.2">
      <c r="A1295" s="288"/>
      <c r="B1295" s="351" t="s">
        <v>739</v>
      </c>
      <c r="C1295" s="388" t="str">
        <f>IF(OR(I1295&lt;&gt;0,H1295&lt;&gt;0),"x"," ")</f>
        <v xml:space="preserve"> </v>
      </c>
      <c r="D1295" s="338"/>
      <c r="E1295" s="358" t="str">
        <f>VLOOKUP($B1295,DG!A:D,DG!$C$2,)&amp;": bắt trụ đôi"</f>
        <v>Boulon 16x550VRS+ 4 long đền vuông D18-50x50x3/Zn: bắt trụ đôi</v>
      </c>
      <c r="F1295" s="594" t="str">
        <f>VLOOKUP($B1295,DG!A:D,DG!$D$2,)</f>
        <v>bộ</v>
      </c>
      <c r="G1295" s="595"/>
      <c r="H1295" s="355">
        <f t="shared" si="66"/>
        <v>0</v>
      </c>
      <c r="I1295" s="355">
        <f>H1295+J1295-K1295</f>
        <v>0</v>
      </c>
      <c r="J1295" s="355"/>
      <c r="K1295" s="355"/>
      <c r="L1295" s="367"/>
      <c r="M1295" s="332"/>
      <c r="N1295" s="340"/>
      <c r="O1295" s="341"/>
    </row>
    <row r="1296" spans="1:15" ht="16.2">
      <c r="A1296" s="288"/>
      <c r="B1296" s="351" t="s">
        <v>1085</v>
      </c>
      <c r="C1296" s="388" t="str">
        <f>IF(OR(I1296&lt;&gt;0,H1296&lt;&gt;0),"x"," ")</f>
        <v xml:space="preserve"> </v>
      </c>
      <c r="D1296" s="338"/>
      <c r="E1296" s="358" t="str">
        <f>VLOOKUP($B1296,DG!A:D,DG!$C$2,)&amp;": bắt trụ đôi"</f>
        <v>Boulon 16x600VRS+ 4 long đền vuông D18-50x50x3/Zn: bắt trụ đôi</v>
      </c>
      <c r="F1296" s="594" t="str">
        <f>VLOOKUP($B1296,DG!A:D,DG!$D$2,)</f>
        <v>bộ</v>
      </c>
      <c r="G1296" s="595"/>
      <c r="H1296" s="355">
        <f t="shared" si="66"/>
        <v>0</v>
      </c>
      <c r="I1296" s="355">
        <f>H1296+J1296-K1296</f>
        <v>0</v>
      </c>
      <c r="J1296" s="355"/>
      <c r="K1296" s="355"/>
      <c r="L1296" s="367"/>
      <c r="M1296" s="332"/>
      <c r="N1296" s="340"/>
      <c r="O1296" s="341"/>
    </row>
    <row r="1297" spans="1:15" ht="16.2">
      <c r="A1297" s="288"/>
      <c r="B1297" s="351" t="s">
        <v>820</v>
      </c>
      <c r="C1297" s="388" t="str">
        <f>IF(OR(I1297&lt;&gt;0,H1297&lt;&gt;0),"x"," ")</f>
        <v xml:space="preserve"> </v>
      </c>
      <c r="D1297" s="338"/>
      <c r="E1297" s="358" t="str">
        <f>VLOOKUP($B1297,DG!A:D,DG!$C$2,)&amp;": baét söù treo Polymer truï TBA 11"</f>
        <v>Boulon mắt 16x250: baét söù treo Polymer truï TBA 11</v>
      </c>
      <c r="F1297" s="594" t="str">
        <f>VLOOKUP($B1297,DG!A:D,DG!$D$2,)</f>
        <v>bộ</v>
      </c>
      <c r="G1297" s="595"/>
      <c r="H1297" s="355">
        <f t="shared" si="66"/>
        <v>0</v>
      </c>
      <c r="I1297" s="355">
        <f>H1297+J1297-K1297</f>
        <v>0</v>
      </c>
      <c r="J1297" s="355"/>
      <c r="K1297" s="355"/>
      <c r="L1297" s="367"/>
      <c r="M1297" s="332"/>
      <c r="N1297" s="340"/>
      <c r="O1297" s="341"/>
    </row>
    <row r="1298" spans="1:15" ht="16.2">
      <c r="A1298" s="288"/>
      <c r="B1298" s="351" t="s">
        <v>1118</v>
      </c>
      <c r="C1298" s="388" t="str">
        <f>IF(OR(I1298&lt;&gt;0,H1298&lt;&gt;0),"x"," ")</f>
        <v xml:space="preserve"> </v>
      </c>
      <c r="D1298" s="338"/>
      <c r="E1298" s="358" t="str">
        <f>VLOOKUP($B1298,DG!A:D,DG!$C$2,)&amp;" + bulon"</f>
        <v>Rack 2 sứ + sứ ống chỉ + bulon</v>
      </c>
      <c r="F1298" s="594" t="str">
        <f>VLOOKUP($B1298,DG!A:D,DG!$D$2,)</f>
        <v>bộ</v>
      </c>
      <c r="G1298" s="595"/>
      <c r="H1298" s="355">
        <f t="shared" si="66"/>
        <v>0</v>
      </c>
      <c r="I1298" s="355">
        <f>H1298+J1298-K1298</f>
        <v>0</v>
      </c>
      <c r="J1298" s="355"/>
      <c r="K1298" s="355"/>
      <c r="L1298" s="367"/>
      <c r="M1298" s="332"/>
      <c r="N1298" s="340"/>
      <c r="O1298" s="341"/>
    </row>
    <row r="1299" spans="1:15" ht="16.2">
      <c r="A1299" s="288"/>
      <c r="B1299" s="351" t="s">
        <v>1119</v>
      </c>
      <c r="C1299" s="388" t="str">
        <f>IF(OR(I1299&lt;&gt;0,H1299&lt;&gt;0),"x"," ")</f>
        <v xml:space="preserve"> </v>
      </c>
      <c r="D1299" s="338"/>
      <c r="E1299" s="358" t="str">
        <f>VLOOKUP($B1299,DG!A:D,DG!$C$2,)&amp;" + bulon"</f>
        <v>Rack 3 sứ + sứ ống chỉ + bulon</v>
      </c>
      <c r="F1299" s="594" t="str">
        <f>VLOOKUP($B1299,DG!A:D,DG!$D$2,)</f>
        <v>bộ</v>
      </c>
      <c r="G1299" s="595"/>
      <c r="H1299" s="355">
        <f t="shared" si="66"/>
        <v>0</v>
      </c>
      <c r="I1299" s="355">
        <f>H1299+J1299-K1299</f>
        <v>0</v>
      </c>
      <c r="J1299" s="355"/>
      <c r="K1299" s="355"/>
      <c r="L1299" s="367"/>
      <c r="M1299" s="332"/>
      <c r="N1299" s="340"/>
      <c r="O1299" s="341"/>
    </row>
    <row r="1300" spans="1:15" ht="16.2">
      <c r="A1300" s="288"/>
      <c r="B1300" s="351" t="s">
        <v>1120</v>
      </c>
      <c r="C1300" s="388" t="str">
        <f>IF(OR(I1300&lt;&gt;0,H1300&lt;&gt;0),"x"," ")</f>
        <v xml:space="preserve"> </v>
      </c>
      <c r="D1300" s="338"/>
      <c r="E1300" s="358" t="str">
        <f>VLOOKUP($B1300,DG!A:D,DG!$C$2,)&amp;" + bulon"</f>
        <v>Rack 4 + bulon</v>
      </c>
      <c r="F1300" s="594" t="str">
        <f>VLOOKUP($B1300,DG!A:D,DG!$D$2,)</f>
        <v>cái</v>
      </c>
      <c r="G1300" s="595"/>
      <c r="H1300" s="355">
        <f t="shared" si="66"/>
        <v>0</v>
      </c>
      <c r="I1300" s="355">
        <f>H1300+J1300-K1300</f>
        <v>0</v>
      </c>
      <c r="J1300" s="355"/>
      <c r="K1300" s="355"/>
      <c r="L1300" s="367"/>
      <c r="M1300" s="332"/>
      <c r="N1300" s="340"/>
      <c r="O1300" s="341"/>
    </row>
    <row r="1301" spans="1:15" ht="16.2">
      <c r="A1301" s="288"/>
      <c r="B1301" s="351" t="s">
        <v>1121</v>
      </c>
      <c r="C1301" s="388" t="str">
        <f>IF(OR(I1301&lt;&gt;0,H1301&lt;&gt;0),"x"," ")</f>
        <v xml:space="preserve"> </v>
      </c>
      <c r="D1301" s="338"/>
      <c r="E1301" s="358" t="str">
        <f>VLOOKUP($B1301,DG!A:D,DG!$C$2,)</f>
        <v>Boulon 16x350</v>
      </c>
      <c r="F1301" s="594" t="str">
        <f>VLOOKUP($B1301,DG!A:D,DG!$D$2,)</f>
        <v>bộ</v>
      </c>
      <c r="G1301" s="595"/>
      <c r="H1301" s="355">
        <f t="shared" si="66"/>
        <v>0</v>
      </c>
      <c r="I1301" s="355">
        <f>H1301+J1301-K1301</f>
        <v>0</v>
      </c>
      <c r="J1301" s="355"/>
      <c r="K1301" s="355"/>
      <c r="L1301" s="367"/>
      <c r="M1301" s="332"/>
      <c r="N1301" s="340"/>
      <c r="O1301" s="341"/>
    </row>
    <row r="1302" spans="1:15" ht="16.2">
      <c r="A1302" s="288"/>
      <c r="B1302" s="351" t="s">
        <v>1122</v>
      </c>
      <c r="C1302" s="388" t="str">
        <f>IF(OR(I1302&lt;&gt;0,H1302&lt;&gt;0),"x"," ")</f>
        <v xml:space="preserve"> </v>
      </c>
      <c r="D1302" s="338"/>
      <c r="E1302" s="358" t="str">
        <f>VLOOKUP($B1302,DG!A:D,DG!$C$2,)</f>
        <v>Bass LI bắt FCO</v>
      </c>
      <c r="F1302" s="594" t="str">
        <f>VLOOKUP($B1302,DG!A:D,DG!$D$2,)</f>
        <v>Bộ</v>
      </c>
      <c r="G1302" s="595"/>
      <c r="H1302" s="355">
        <f t="shared" si="66"/>
        <v>0</v>
      </c>
      <c r="I1302" s="355">
        <f>H1302+J1302-K1302</f>
        <v>0</v>
      </c>
      <c r="J1302" s="355"/>
      <c r="K1302" s="355"/>
      <c r="L1302" s="367"/>
      <c r="M1302" s="332"/>
      <c r="N1302" s="340"/>
      <c r="O1302" s="341"/>
    </row>
    <row r="1303" spans="1:15" ht="16.2">
      <c r="A1303" s="288"/>
      <c r="B1303" s="351" t="s">
        <v>1123</v>
      </c>
      <c r="C1303" s="388" t="str">
        <f>IF(OR(I1303&lt;&gt;0,H1303&lt;&gt;0),"x"," ")</f>
        <v xml:space="preserve"> </v>
      </c>
      <c r="D1303" s="338"/>
      <c r="E1303" s="358" t="str">
        <f>VLOOKUP($B1303,DG!A:D,DG!$C$2,)</f>
        <v>Bass LI bắt LA</v>
      </c>
      <c r="F1303" s="594" t="str">
        <f>VLOOKUP($B1303,DG!A:D,DG!$D$2,)</f>
        <v>Bộ</v>
      </c>
      <c r="G1303" s="595"/>
      <c r="H1303" s="355"/>
      <c r="I1303" s="355">
        <f>H1303+J1303-K1303</f>
        <v>0</v>
      </c>
      <c r="J1303" s="355"/>
      <c r="K1303" s="355"/>
      <c r="L1303" s="367"/>
      <c r="M1303" s="332"/>
      <c r="N1303" s="340"/>
      <c r="O1303" s="341"/>
    </row>
    <row r="1304" spans="1:15" ht="16.2">
      <c r="B1304" s="336" t="s">
        <v>1124</v>
      </c>
      <c r="C1304" s="388" t="str">
        <f>IF(OR(I1304&lt;&gt;0,H1304&lt;&gt;0),"x"," ")</f>
        <v xml:space="preserve"> </v>
      </c>
      <c r="D1304" s="338"/>
      <c r="E1304" s="358" t="str">
        <f>VLOOKUP($B1304,DG!A:D,DG!$C$2,)</f>
        <v>Cáp nhôm A-70: buộc cổ sứ</v>
      </c>
      <c r="F1304" s="594" t="str">
        <f>VLOOKUP($B1304,DG!A:D,DG!$D$2,)</f>
        <v>kg</v>
      </c>
      <c r="G1304" s="595"/>
      <c r="H1304" s="355">
        <f t="shared" si="66"/>
        <v>0</v>
      </c>
      <c r="I1304" s="355">
        <f>H1304+J1304-K1304</f>
        <v>0</v>
      </c>
      <c r="J1304" s="355"/>
      <c r="K1304" s="355"/>
      <c r="L1304" s="367"/>
      <c r="M1304" s="340"/>
      <c r="N1304" s="340"/>
      <c r="O1304" s="341"/>
    </row>
    <row r="1305" spans="1:15" ht="16.2">
      <c r="A1305" s="288"/>
      <c r="B1305" s="351" t="s">
        <v>1125</v>
      </c>
      <c r="C1305" s="388" t="str">
        <f>IF(OR(I1305&lt;&gt;0,H1305&lt;&gt;0),"x"," ")</f>
        <v xml:space="preserve"> </v>
      </c>
      <c r="D1305" s="338"/>
      <c r="E1305" s="358" t="str">
        <f>VLOOKUP($B1305,DG!A:D,DG!$C$2,)</f>
        <v>Chụp cách điện đầu cực FCO (trên + dưới)</v>
      </c>
      <c r="F1305" s="594" t="str">
        <f>VLOOKUP($B1305,DG!A:D,DG!$D$2,)</f>
        <v>bộ</v>
      </c>
      <c r="G1305" s="595">
        <f>G1675*0</f>
        <v>0</v>
      </c>
      <c r="H1305" s="355">
        <f t="shared" si="66"/>
        <v>0</v>
      </c>
      <c r="I1305" s="355">
        <f>H1305+J1305-K1305</f>
        <v>0</v>
      </c>
      <c r="J1305" s="355"/>
      <c r="K1305" s="355"/>
      <c r="L1305" s="367"/>
      <c r="M1305" s="332"/>
      <c r="N1305" s="340"/>
      <c r="O1305" s="341"/>
    </row>
    <row r="1306" spans="1:15" ht="16.2">
      <c r="A1306" s="384"/>
      <c r="B1306" s="336" t="s">
        <v>1024</v>
      </c>
      <c r="C1306" s="388" t="str">
        <f>IF(OR(I1306&lt;&gt;0,H1306&lt;&gt;0),"x"," ")</f>
        <v xml:space="preserve"> </v>
      </c>
      <c r="D1306" s="338"/>
      <c r="E1306" s="358" t="str">
        <f>VLOOKUP($B1306,DG!A:D,DG!$C$2,)</f>
        <v>Biển số - Bảng nguy hiểm</v>
      </c>
      <c r="F1306" s="594" t="str">
        <f>VLOOKUP($B1306,DG!A:D,DG!$D$2,)</f>
        <v>cái</v>
      </c>
      <c r="G1306" s="595"/>
      <c r="H1306" s="355">
        <f t="shared" si="66"/>
        <v>0</v>
      </c>
      <c r="I1306" s="355">
        <f>H1306+J1306-K1306</f>
        <v>0</v>
      </c>
      <c r="J1306" s="355"/>
      <c r="K1306" s="355"/>
      <c r="L1306" s="367"/>
      <c r="M1306" s="340"/>
      <c r="N1306" s="340"/>
      <c r="O1306" s="341"/>
    </row>
    <row r="1307" spans="1:15" ht="16.2">
      <c r="A1307" s="384"/>
      <c r="B1307" s="336" t="s">
        <v>1025</v>
      </c>
      <c r="C1307" s="388" t="str">
        <f>IF(OR(I1307&lt;&gt;0,H1307&lt;&gt;0),"x"," ")</f>
        <v xml:space="preserve"> </v>
      </c>
      <c r="D1307" s="338" t="str">
        <f>VLOOKUP($B1307,DG!A:D,DG!$B$2,)</f>
        <v>06.6114</v>
      </c>
      <c r="E1307" s="366" t="str">
        <f>VLOOKUP($B1307,DG!A:D,DG!$C$2,)</f>
        <v>Kéo dây nhôm lõi thép cỡ dây 50mm2</v>
      </c>
      <c r="F1307" s="594" t="str">
        <f>VLOOKUP($B1307,DG!A:D,DG!$D$2,)</f>
        <v>km</v>
      </c>
      <c r="G1307" s="595">
        <f>(D1165)/1000</f>
        <v>0</v>
      </c>
      <c r="H1307" s="355">
        <f>$G1307</f>
        <v>0</v>
      </c>
      <c r="I1307" s="355">
        <f>H1307+J1307-K1307</f>
        <v>0</v>
      </c>
      <c r="J1307" s="355"/>
      <c r="K1307" s="355"/>
      <c r="L1307" s="367"/>
      <c r="M1307" s="340"/>
      <c r="N1307" s="340"/>
      <c r="O1307" s="341"/>
    </row>
    <row r="1308" spans="1:15" ht="16.2">
      <c r="A1308" s="288"/>
      <c r="B1308" s="351" t="s">
        <v>1027</v>
      </c>
      <c r="C1308" s="388" t="str">
        <f>IF(OR(I1308&lt;&gt;0,H1308&lt;&gt;0),"x"," ")</f>
        <v xml:space="preserve"> </v>
      </c>
      <c r="D1308" s="338" t="str">
        <f>VLOOKUP($B1308,DG!A:D,DG!$B$2,)</f>
        <v>06.6105</v>
      </c>
      <c r="E1308" s="366" t="str">
        <f>VLOOKUP($B1308,DG!A:D,DG!$C$2,)</f>
        <v>Kéo dây nhôm lõi thép cỡ dây 70mm2</v>
      </c>
      <c r="F1308" s="594" t="str">
        <f>VLOOKUP($B1308,DG!A:D,DG!$D$2,)</f>
        <v>km</v>
      </c>
      <c r="G1308" s="595">
        <f>(D1164)/1000</f>
        <v>0</v>
      </c>
      <c r="H1308" s="355"/>
      <c r="I1308" s="355">
        <f>H1308+J1308-K1308</f>
        <v>0</v>
      </c>
      <c r="J1308" s="355"/>
      <c r="K1308" s="355"/>
      <c r="L1308" s="367"/>
      <c r="M1308" s="332"/>
      <c r="N1308" s="340"/>
      <c r="O1308" s="341"/>
    </row>
    <row r="1309" spans="1:15" ht="16.2">
      <c r="A1309" s="288"/>
      <c r="B1309" s="351" t="s">
        <v>1028</v>
      </c>
      <c r="C1309" s="388" t="str">
        <f>IF(OR(I1309&lt;&gt;0,H1309&lt;&gt;0),"x"," ")</f>
        <v xml:space="preserve"> </v>
      </c>
      <c r="D1309" s="338" t="str">
        <f>VLOOKUP($B1309,DG!A:D,DG!$B$2,)</f>
        <v>06.6106</v>
      </c>
      <c r="E1309" s="366" t="str">
        <f>VLOOKUP($B1309,DG!A:D,DG!$C$2,)</f>
        <v>Kéo dây nhôm lõi thép cỡ dây 95mm2</v>
      </c>
      <c r="F1309" s="594" t="str">
        <f>VLOOKUP($B1309,DG!A:D,DG!$D$2,)</f>
        <v>km</v>
      </c>
      <c r="G1309" s="595">
        <f>(D1163)/1000</f>
        <v>0</v>
      </c>
      <c r="H1309" s="355"/>
      <c r="I1309" s="355">
        <f>H1309+J1309-K1309</f>
        <v>0</v>
      </c>
      <c r="J1309" s="355"/>
      <c r="K1309" s="355"/>
      <c r="L1309" s="367"/>
      <c r="M1309" s="332"/>
      <c r="N1309" s="340"/>
      <c r="O1309" s="341"/>
    </row>
    <row r="1310" spans="1:15" ht="16.2">
      <c r="A1310" s="288"/>
      <c r="B1310" s="351" t="s">
        <v>1029</v>
      </c>
      <c r="C1310" s="388" t="str">
        <f>IF(OR(I1310&lt;&gt;0,H1310&lt;&gt;0),"x"," ")</f>
        <v xml:space="preserve"> </v>
      </c>
      <c r="D1310" s="338" t="str">
        <f>VLOOKUP($B1310,DG!A:D,DG!$B$2,)</f>
        <v>06.6107</v>
      </c>
      <c r="E1310" s="366" t="str">
        <f>VLOOKUP($B1310,DG!A:D,DG!$C$2,)</f>
        <v>Kéo dây nhôm lõi thép cỡ dây 120mm2</v>
      </c>
      <c r="F1310" s="594" t="str">
        <f>VLOOKUP($B1310,DG!A:D,DG!$D$2,)</f>
        <v>km</v>
      </c>
      <c r="G1310" s="595">
        <f>(D1162)/1000</f>
        <v>0</v>
      </c>
      <c r="H1310" s="355"/>
      <c r="I1310" s="355">
        <f>H1310+J1310-K1310</f>
        <v>0</v>
      </c>
      <c r="J1310" s="355"/>
      <c r="K1310" s="355"/>
      <c r="L1310" s="367"/>
      <c r="M1310" s="332"/>
      <c r="N1310" s="340"/>
      <c r="O1310" s="341"/>
    </row>
    <row r="1311" spans="1:15" ht="16.2">
      <c r="A1311" s="288"/>
      <c r="B1311" s="351" t="s">
        <v>1030</v>
      </c>
      <c r="C1311" s="388" t="str">
        <f>IF(OR(I1311&lt;&gt;0,H1311&lt;&gt;0),"x"," ")</f>
        <v xml:space="preserve"> </v>
      </c>
      <c r="D1311" s="338" t="str">
        <f>VLOOKUP($B1311,DG!A:D,DG!$B$2,)</f>
        <v>06.6108</v>
      </c>
      <c r="E1311" s="366" t="str">
        <f>VLOOKUP($B1311,DG!A:D,DG!$C$2,)</f>
        <v>Kéo dây nhôm lõi thép cỡ dây 150mm2</v>
      </c>
      <c r="F1311" s="594" t="str">
        <f>VLOOKUP($B1311,DG!A:D,DG!$D$2,)</f>
        <v>km</v>
      </c>
      <c r="G1311" s="595">
        <f>(D1161)/1000</f>
        <v>0</v>
      </c>
      <c r="H1311" s="355"/>
      <c r="I1311" s="355">
        <f>H1311+J1311-K1311</f>
        <v>0</v>
      </c>
      <c r="J1311" s="355"/>
      <c r="K1311" s="355"/>
      <c r="L1311" s="367"/>
      <c r="M1311" s="332"/>
      <c r="N1311" s="340"/>
      <c r="O1311" s="341"/>
    </row>
    <row r="1312" spans="1:15" ht="16.2">
      <c r="A1312" s="288"/>
      <c r="B1312" s="351" t="s">
        <v>1032</v>
      </c>
      <c r="C1312" s="388" t="str">
        <f>IF(OR(I1312&lt;&gt;0,H1312&lt;&gt;0),"x"," ")</f>
        <v xml:space="preserve"> </v>
      </c>
      <c r="D1312" s="338" t="str">
        <f>VLOOKUP($B1312,DG!A:D,DG!$B$2,)</f>
        <v>06.6109</v>
      </c>
      <c r="E1312" s="366" t="str">
        <f>VLOOKUP($B1312,DG!A:D,DG!$C$2,)</f>
        <v>Kéo dây nhôm lõi thép cỡ dây 185mm2</v>
      </c>
      <c r="F1312" s="594" t="str">
        <f>VLOOKUP($B1312,DG!A:D,DG!$D$2,)</f>
        <v>km</v>
      </c>
      <c r="G1312" s="595">
        <f>(D1160)/1000</f>
        <v>0</v>
      </c>
      <c r="H1312" s="355"/>
      <c r="I1312" s="355">
        <f>H1312+J1312-K1312</f>
        <v>0</v>
      </c>
      <c r="J1312" s="355"/>
      <c r="K1312" s="355"/>
      <c r="L1312" s="367"/>
      <c r="M1312" s="332"/>
      <c r="N1312" s="340"/>
      <c r="O1312" s="341"/>
    </row>
    <row r="1313" spans="1:15" ht="16.2">
      <c r="A1313" s="288"/>
      <c r="B1313" s="351" t="s">
        <v>1033</v>
      </c>
      <c r="C1313" s="388" t="str">
        <f>IF(OR(I1313&lt;&gt;0,H1313&lt;&gt;0),"x"," ")</f>
        <v xml:space="preserve"> </v>
      </c>
      <c r="D1313" s="338" t="str">
        <f>VLOOKUP($B1313,DG!A:D,DG!$B$2,)</f>
        <v>06.6110</v>
      </c>
      <c r="E1313" s="366" t="str">
        <f>VLOOKUP($B1313,DG!A:D,DG!$C$2,)</f>
        <v>Kéo dây nhôm lõi thép cỡ dây 240mm2</v>
      </c>
      <c r="F1313" s="594" t="str">
        <f>VLOOKUP($B1313,DG!A:D,DG!$D$2,)</f>
        <v>km</v>
      </c>
      <c r="G1313" s="595">
        <f>(D1159)/1000</f>
        <v>0</v>
      </c>
      <c r="H1313" s="355"/>
      <c r="I1313" s="355">
        <f>H1313+J1313-K1313</f>
        <v>0</v>
      </c>
      <c r="J1313" s="355"/>
      <c r="K1313" s="355"/>
      <c r="L1313" s="367"/>
      <c r="M1313" s="332"/>
      <c r="N1313" s="340"/>
      <c r="O1313" s="341"/>
    </row>
    <row r="1314" spans="1:15" ht="16.2">
      <c r="A1314" s="384"/>
      <c r="B1314" s="336" t="s">
        <v>1031</v>
      </c>
      <c r="C1314" s="388" t="str">
        <f>IF(OR(I1314&lt;&gt;0,H1314&lt;&gt;0),"x"," ")</f>
        <v xml:space="preserve"> </v>
      </c>
      <c r="D1314" s="338" t="str">
        <f>VLOOKUP($B1314,DG!A:D,DG!$B$2,)</f>
        <v>06.6114</v>
      </c>
      <c r="E1314" s="366" t="str">
        <f>VLOOKUP($B1314,DG!A:D,DG!$C$2,)</f>
        <v>Kéo dây nhôm bọc cỡ dây 50mm2</v>
      </c>
      <c r="F1314" s="594" t="str">
        <f>VLOOKUP($B1314,DG!A:D,DG!$D$2,)</f>
        <v>km</v>
      </c>
      <c r="G1314" s="595">
        <f>D1166/1000</f>
        <v>0</v>
      </c>
      <c r="H1314" s="355">
        <f>$G1314</f>
        <v>0</v>
      </c>
      <c r="I1314" s="355">
        <f>H1314+J1314-K1314</f>
        <v>0</v>
      </c>
      <c r="J1314" s="355"/>
      <c r="K1314" s="355"/>
      <c r="L1314" s="367"/>
      <c r="M1314" s="340"/>
      <c r="N1314" s="340"/>
      <c r="O1314" s="341"/>
    </row>
    <row r="1315" spans="1:15" ht="16.2">
      <c r="A1315" s="288"/>
      <c r="B1315" s="351" t="s">
        <v>1126</v>
      </c>
      <c r="C1315" s="388" t="str">
        <f>IF(OR(I1315&lt;&gt;0,H1315&lt;&gt;0),"x"," ")</f>
        <v xml:space="preserve"> </v>
      </c>
      <c r="D1315" s="338" t="str">
        <f>VLOOKUP($B1315,DG!A:D,DG!$B$2,)</f>
        <v>06.6142</v>
      </c>
      <c r="E1315" s="366" t="str">
        <f>VLOOKUP($B1315,DG!A:D,DG!$C$2,)</f>
        <v>Kéo dây đồng trần 25mm2</v>
      </c>
      <c r="F1315" s="594" t="str">
        <f>VLOOKUP($B1315,DG!A:D,DG!$D$2,)</f>
        <v>km</v>
      </c>
      <c r="G1315" s="595">
        <f>D1176/1000</f>
        <v>0</v>
      </c>
      <c r="H1315" s="355">
        <f>G1315</f>
        <v>0</v>
      </c>
      <c r="I1315" s="355">
        <f>H1315+J1315-K1315</f>
        <v>0</v>
      </c>
      <c r="J1315" s="355"/>
      <c r="K1315" s="355"/>
      <c r="L1315" s="367"/>
      <c r="M1315" s="332"/>
      <c r="N1315" s="340"/>
      <c r="O1315" s="341"/>
    </row>
    <row r="1316" spans="1:15" ht="16.2">
      <c r="A1316" s="288"/>
      <c r="B1316" s="351" t="s">
        <v>1127</v>
      </c>
      <c r="C1316" s="388" t="str">
        <f>IF(OR(I1316&lt;&gt;0,H1316&lt;&gt;0),"x"," ")</f>
        <v xml:space="preserve"> </v>
      </c>
      <c r="D1316" s="338" t="str">
        <f>VLOOKUP($B1316,DG!A:D,DG!$B$2,)</f>
        <v>06.6142</v>
      </c>
      <c r="E1316" s="366" t="str">
        <f>VLOOKUP($B1316,DG!A:D,DG!$C$2,)</f>
        <v>Kéo dây đồng bọc 25mm2</v>
      </c>
      <c r="F1316" s="594" t="str">
        <f>VLOOKUP($B1316,DG!A:D,DG!$D$2,)</f>
        <v>km</v>
      </c>
      <c r="G1316" s="595">
        <f>D1174/1000</f>
        <v>0</v>
      </c>
      <c r="H1316" s="355">
        <f>G1316</f>
        <v>0</v>
      </c>
      <c r="I1316" s="355">
        <f>H1316+J1316-K1316</f>
        <v>0</v>
      </c>
      <c r="J1316" s="355"/>
      <c r="K1316" s="355"/>
      <c r="L1316" s="367"/>
      <c r="M1316" s="332"/>
      <c r="N1316" s="340"/>
      <c r="O1316" s="341"/>
    </row>
    <row r="1317" spans="1:15" ht="16.2">
      <c r="A1317" s="288"/>
      <c r="B1317" s="351" t="s">
        <v>1128</v>
      </c>
      <c r="C1317" s="388" t="str">
        <f>IF(OR(I1317&lt;&gt;0,H1317&lt;&gt;0),"x"," ")</f>
        <v xml:space="preserve"> </v>
      </c>
      <c r="D1317" s="338" t="str">
        <f>VLOOKUP($B1317,DG!A:D,DG!$B$2,)</f>
        <v>06.6144</v>
      </c>
      <c r="E1317" s="366" t="str">
        <f>VLOOKUP($B1317,DG!A:D,DG!$C$2,)</f>
        <v>Kéo dây đồng bọc 50mm3</v>
      </c>
      <c r="F1317" s="594" t="str">
        <f>VLOOKUP($B1317,DG!A:D,DG!$D$2,)</f>
        <v>km</v>
      </c>
      <c r="G1317" s="595">
        <f>D1175/1000</f>
        <v>0</v>
      </c>
      <c r="H1317" s="355">
        <f>G1317</f>
        <v>0</v>
      </c>
      <c r="I1317" s="355">
        <f>H1317+J1317-K1317</f>
        <v>0</v>
      </c>
      <c r="J1317" s="355"/>
      <c r="K1317" s="355"/>
      <c r="L1317" s="367"/>
      <c r="M1317" s="332"/>
      <c r="N1317" s="340"/>
      <c r="O1317" s="341"/>
    </row>
    <row r="1318" spans="1:15" ht="16.2">
      <c r="A1318" s="288"/>
      <c r="B1318" s="417" t="s">
        <v>1129</v>
      </c>
      <c r="C1318" s="388" t="str">
        <f>IF(OR(I1318&lt;&gt;0,H1318&lt;&gt;0),"x"," ")</f>
        <v xml:space="preserve"> </v>
      </c>
      <c r="D1318" s="338" t="str">
        <f>VLOOKUP($B1318,DG!A:D,DG!$B$2,)</f>
        <v>06.6124</v>
      </c>
      <c r="E1318" s="366" t="str">
        <f>VLOOKUP($B1318,DG!A:D,DG!$C$2,)</f>
        <v>Kéo dây nhôm bọc 50mm2</v>
      </c>
      <c r="F1318" s="594" t="str">
        <f>VLOOKUP($B1318,DG!A:D,DG!$D$2,)</f>
        <v>km</v>
      </c>
      <c r="G1318" s="595">
        <f>D1173/1000</f>
        <v>0</v>
      </c>
      <c r="H1318" s="355">
        <f>G1318</f>
        <v>0</v>
      </c>
      <c r="I1318" s="355">
        <f>H1318+J1318-K1318</f>
        <v>0</v>
      </c>
      <c r="J1318" s="355"/>
      <c r="K1318" s="355"/>
      <c r="L1318" s="367"/>
      <c r="M1318" s="332"/>
      <c r="N1318" s="340"/>
      <c r="O1318" s="341"/>
    </row>
    <row r="1319" spans="1:15" ht="16.2">
      <c r="A1319" s="288"/>
      <c r="B1319" s="417" t="s">
        <v>1034</v>
      </c>
      <c r="C1319" s="388" t="str">
        <f>IF(OR(I1319&lt;&gt;0,H1319&lt;&gt;0),"x"," ")</f>
        <v xml:space="preserve"> </v>
      </c>
      <c r="D1319" s="338" t="str">
        <f>VLOOKUP($B1319,DG!A:D,DG!$B$2,)</f>
        <v>06.6105</v>
      </c>
      <c r="E1319" s="366" t="str">
        <f>VLOOKUP($B1319,DG!A:D,DG!$C$2,)</f>
        <v>Kéo dây nhôm bọc 70mm2</v>
      </c>
      <c r="F1319" s="594" t="str">
        <f>VLOOKUP($B1319,DG!A:D,DG!$D$2,)</f>
        <v>km</v>
      </c>
      <c r="G1319" s="595">
        <f>D1172/1000</f>
        <v>0</v>
      </c>
      <c r="H1319" s="355"/>
      <c r="I1319" s="355">
        <f>H1319+J1319-K1319</f>
        <v>0</v>
      </c>
      <c r="J1319" s="355"/>
      <c r="K1319" s="355"/>
      <c r="L1319" s="367"/>
      <c r="M1319" s="332"/>
      <c r="N1319" s="340"/>
      <c r="O1319" s="341"/>
    </row>
    <row r="1320" spans="1:15" ht="16.2">
      <c r="A1320" s="288"/>
      <c r="B1320" s="417" t="s">
        <v>1035</v>
      </c>
      <c r="C1320" s="388" t="str">
        <f>IF(OR(I1320&lt;&gt;0,H1320&lt;&gt;0),"x"," ")</f>
        <v xml:space="preserve"> </v>
      </c>
      <c r="D1320" s="338" t="str">
        <f>VLOOKUP($B1320,DG!A:D,DG!$B$2,)</f>
        <v>06.6106</v>
      </c>
      <c r="E1320" s="366" t="str">
        <f>VLOOKUP($B1320,DG!A:D,DG!$C$2,)</f>
        <v>Kéo dây nhôm bọc 95mm2</v>
      </c>
      <c r="F1320" s="594" t="str">
        <f>VLOOKUP($B1320,DG!A:D,DG!$D$2,)</f>
        <v>km</v>
      </c>
      <c r="G1320" s="595">
        <f>D1171/1000</f>
        <v>0</v>
      </c>
      <c r="H1320" s="355"/>
      <c r="I1320" s="355">
        <f>H1320+J1320-K1320</f>
        <v>0</v>
      </c>
      <c r="J1320" s="355"/>
      <c r="K1320" s="355"/>
      <c r="L1320" s="367"/>
      <c r="M1320" s="332"/>
      <c r="N1320" s="340"/>
      <c r="O1320" s="341"/>
    </row>
    <row r="1321" spans="1:15" ht="16.2">
      <c r="A1321" s="288"/>
      <c r="B1321" s="417" t="s">
        <v>1036</v>
      </c>
      <c r="C1321" s="388" t="str">
        <f>IF(OR(I1321&lt;&gt;0,H1321&lt;&gt;0),"x"," ")</f>
        <v xml:space="preserve"> </v>
      </c>
      <c r="D1321" s="338" t="str">
        <f>VLOOKUP($B1321,DG!A:D,DG!$B$2,)</f>
        <v>06.6107</v>
      </c>
      <c r="E1321" s="366" t="str">
        <f>VLOOKUP($B1321,DG!A:D,DG!$C$2,)</f>
        <v>Kéo dây nhôm bọc 120mm2</v>
      </c>
      <c r="F1321" s="594" t="str">
        <f>VLOOKUP($B1321,DG!A:D,DG!$D$2,)</f>
        <v>km</v>
      </c>
      <c r="G1321" s="595">
        <f>D1170/1000</f>
        <v>0</v>
      </c>
      <c r="H1321" s="355"/>
      <c r="I1321" s="355">
        <f>H1321+J1321-K1321</f>
        <v>0</v>
      </c>
      <c r="J1321" s="355"/>
      <c r="K1321" s="355"/>
      <c r="L1321" s="367"/>
      <c r="M1321" s="332"/>
      <c r="N1321" s="340"/>
      <c r="O1321" s="341"/>
    </row>
    <row r="1322" spans="1:15" ht="16.2">
      <c r="A1322" s="288"/>
      <c r="B1322" s="417" t="s">
        <v>1037</v>
      </c>
      <c r="C1322" s="388" t="str">
        <f>IF(OR(I1322&lt;&gt;0,H1322&lt;&gt;0),"x"," ")</f>
        <v xml:space="preserve"> </v>
      </c>
      <c r="D1322" s="338" t="str">
        <f>VLOOKUP($B1322,DG!A:D,DG!$B$2,)</f>
        <v>06.6108</v>
      </c>
      <c r="E1322" s="366" t="str">
        <f>VLOOKUP($B1322,DG!A:D,DG!$C$2,)</f>
        <v>Kéo dây nhôm bọc 150mm2</v>
      </c>
      <c r="F1322" s="594" t="str">
        <f>VLOOKUP($B1322,DG!A:D,DG!$D$2,)</f>
        <v>km</v>
      </c>
      <c r="G1322" s="595">
        <f>D1169/1000</f>
        <v>0</v>
      </c>
      <c r="H1322" s="355"/>
      <c r="I1322" s="355">
        <f>H1322+J1322-K1322</f>
        <v>0</v>
      </c>
      <c r="J1322" s="355"/>
      <c r="K1322" s="355"/>
      <c r="L1322" s="367"/>
      <c r="M1322" s="332"/>
      <c r="N1322" s="340"/>
      <c r="O1322" s="341"/>
    </row>
    <row r="1323" spans="1:15" ht="16.2">
      <c r="A1323" s="288"/>
      <c r="B1323" s="417" t="s">
        <v>1038</v>
      </c>
      <c r="C1323" s="388" t="str">
        <f>IF(OR(I1323&lt;&gt;0,H1323&lt;&gt;0),"x"," ")</f>
        <v xml:space="preserve"> </v>
      </c>
      <c r="D1323" s="338" t="str">
        <f>VLOOKUP($B1323,DG!A:D,DG!$B$2,)</f>
        <v>06.6109</v>
      </c>
      <c r="E1323" s="366" t="str">
        <f>VLOOKUP($B1323,DG!A:D,DG!$C$2,)</f>
        <v>Kéo dây nhôm bọc 185mm2</v>
      </c>
      <c r="F1323" s="594" t="str">
        <f>VLOOKUP($B1323,DG!A:D,DG!$D$2,)</f>
        <v>km</v>
      </c>
      <c r="G1323" s="595">
        <f>D1168/1000</f>
        <v>0</v>
      </c>
      <c r="H1323" s="355"/>
      <c r="I1323" s="355">
        <f>H1323+J1323-K1323</f>
        <v>0</v>
      </c>
      <c r="J1323" s="355"/>
      <c r="K1323" s="355"/>
      <c r="L1323" s="367"/>
      <c r="M1323" s="332"/>
      <c r="N1323" s="340"/>
      <c r="O1323" s="341"/>
    </row>
    <row r="1324" spans="1:15" ht="16.2">
      <c r="A1324" s="288"/>
      <c r="B1324" s="417" t="s">
        <v>1039</v>
      </c>
      <c r="C1324" s="388" t="str">
        <f>IF(OR(I1324&lt;&gt;0,H1324&lt;&gt;0),"x"," ")</f>
        <v xml:space="preserve"> </v>
      </c>
      <c r="D1324" s="338" t="str">
        <f>VLOOKUP($B1324,DG!A:D,DG!$B$2,)</f>
        <v>06.6110</v>
      </c>
      <c r="E1324" s="366" t="str">
        <f>VLOOKUP($B1324,DG!A:D,DG!$C$2,)</f>
        <v>Kéo dây nhôm bọc 240mm2</v>
      </c>
      <c r="F1324" s="594" t="str">
        <f>VLOOKUP($B1324,DG!A:D,DG!$D$2,)</f>
        <v>km</v>
      </c>
      <c r="G1324" s="595">
        <f>D1167/1000</f>
        <v>0</v>
      </c>
      <c r="H1324" s="355"/>
      <c r="I1324" s="355">
        <f>H1324+J1324-K1324</f>
        <v>0</v>
      </c>
      <c r="J1324" s="355"/>
      <c r="K1324" s="355"/>
      <c r="L1324" s="367"/>
      <c r="M1324" s="332"/>
      <c r="N1324" s="340"/>
      <c r="O1324" s="341"/>
    </row>
    <row r="1325" spans="1:15" ht="16.2">
      <c r="A1325" s="288"/>
      <c r="B1325" s="351" t="s">
        <v>1042</v>
      </c>
      <c r="C1325" s="388" t="str">
        <f>IF(OR(I1325&lt;&gt;0,H1325&lt;&gt;0),"x"," ")</f>
        <v xml:space="preserve"> </v>
      </c>
      <c r="D1325" s="338" t="str">
        <f>VLOOKUP($B1325,DG!A:D,DG!$B$2,)</f>
        <v>06.2201</v>
      </c>
      <c r="E1325" s="366" t="s">
        <v>1130</v>
      </c>
      <c r="F1325" s="594" t="str">
        <f>VLOOKUP($B1325,DG!A:D,DG!$D$2,)</f>
        <v>chuỗi</v>
      </c>
      <c r="G1325" s="595"/>
      <c r="H1325" s="355"/>
      <c r="I1325" s="355">
        <f>H1325+J1325-K1325</f>
        <v>0</v>
      </c>
      <c r="J1325" s="355"/>
      <c r="K1325" s="355"/>
      <c r="L1325" s="367"/>
      <c r="M1325" s="332"/>
      <c r="N1325" s="340"/>
      <c r="O1325" s="341"/>
    </row>
    <row r="1326" spans="1:15" ht="16.2">
      <c r="A1326" s="288"/>
      <c r="B1326" s="351" t="s">
        <v>1075</v>
      </c>
      <c r="C1326" s="388" t="str">
        <f>IF(OR(I1326&lt;&gt;0,H1326&lt;&gt;0),"x"," ")</f>
        <v xml:space="preserve"> </v>
      </c>
      <c r="D1326" s="338" t="str">
        <f>VLOOKUP($B1326,DG!A:D,DG!$B$2,)</f>
        <v>06.1115</v>
      </c>
      <c r="E1326" s="366" t="s">
        <v>254</v>
      </c>
      <c r="F1326" s="594" t="str">
        <f>VLOOKUP($B1326,DG!A:D,DG!$D$2,)</f>
        <v>bộ</v>
      </c>
      <c r="G1326" s="595"/>
      <c r="H1326" s="355"/>
      <c r="I1326" s="355">
        <f>H1326+J1326-K1326</f>
        <v>0</v>
      </c>
      <c r="J1326" s="355"/>
      <c r="K1326" s="355"/>
      <c r="L1326" s="367"/>
      <c r="M1326" s="332"/>
      <c r="N1326" s="340"/>
      <c r="O1326" s="341"/>
    </row>
    <row r="1327" spans="1:15" ht="16.2">
      <c r="A1327" s="384"/>
      <c r="B1327" s="336" t="s">
        <v>1075</v>
      </c>
      <c r="C1327" s="388" t="str">
        <f>IF(OR(I1327&lt;&gt;0,H1327&lt;&gt;0),"x"," ")</f>
        <v xml:space="preserve"> </v>
      </c>
      <c r="D1327" s="338" t="str">
        <f>VLOOKUP($B1327,DG!A:D,DG!$B$2,)</f>
        <v>06.1115</v>
      </c>
      <c r="E1327" s="366" t="str">
        <f>VLOOKUP($B1327,DG!A:D,DG!$C$2,)</f>
        <v>Lắp sứ đứng 24KV</v>
      </c>
      <c r="F1327" s="594" t="str">
        <f>VLOOKUP($B1327,DG!A:D,DG!$D$2,)</f>
        <v>bộ</v>
      </c>
      <c r="G1327" s="595">
        <f>G1204+G1206</f>
        <v>0</v>
      </c>
      <c r="H1327" s="355">
        <f>$G1327</f>
        <v>0</v>
      </c>
      <c r="I1327" s="355">
        <f>H1327+J1327-K1327</f>
        <v>0</v>
      </c>
      <c r="J1327" s="355"/>
      <c r="K1327" s="355"/>
      <c r="L1327" s="367"/>
      <c r="M1327" s="340"/>
      <c r="N1327" s="340"/>
      <c r="O1327" s="341"/>
    </row>
    <row r="1328" spans="1:15" ht="16.2">
      <c r="A1328" s="288"/>
      <c r="B1328" s="351" t="s">
        <v>1131</v>
      </c>
      <c r="C1328" s="388" t="str">
        <f>IF(OR(I1328&lt;&gt;0,H1328&lt;&gt;0),"x"," ")</f>
        <v xml:space="preserve"> </v>
      </c>
      <c r="D1328" s="338" t="str">
        <f>VLOOKUP($B1328,DG!A:D,DG!$B$2,)</f>
        <v>06.1115</v>
      </c>
      <c r="E1328" s="366" t="str">
        <f>VLOOKUP($B1328,DG!A:D,DG!$C$2,)</f>
        <v>Tháo sứ đứng 24KV</v>
      </c>
      <c r="F1328" s="594" t="str">
        <f>VLOOKUP($B1328,DG!A:D,DG!$D$2,)</f>
        <v>bộ</v>
      </c>
      <c r="G1328" s="595">
        <f>G1204*0</f>
        <v>0</v>
      </c>
      <c r="H1328" s="355"/>
      <c r="I1328" s="355">
        <f>H1328+J1328-K1328</f>
        <v>0</v>
      </c>
      <c r="J1328" s="355"/>
      <c r="K1328" s="355"/>
      <c r="L1328" s="367"/>
      <c r="M1328" s="332"/>
      <c r="N1328" s="340"/>
      <c r="O1328" s="341"/>
    </row>
    <row r="1329" spans="1:15" ht="16.2">
      <c r="A1329" s="288"/>
      <c r="B1329" s="351" t="s">
        <v>1076</v>
      </c>
      <c r="C1329" s="388" t="str">
        <f>IF(OR(I1329&lt;&gt;0,H1329&lt;&gt;0),"x"," ")</f>
        <v xml:space="preserve"> </v>
      </c>
      <c r="D1329" s="338" t="str">
        <f>VLOOKUP($B1329,DG!A:D,DG!$B$2,)</f>
        <v>06.3231</v>
      </c>
      <c r="E1329" s="366" t="str">
        <f>VLOOKUP($B1329,DG!A:D,DG!$C$2,)</f>
        <v>Lắp chân sứ đỉnh</v>
      </c>
      <c r="F1329" s="594" t="str">
        <f>VLOOKUP($B1329,DG!A:D,DG!$D$2,)</f>
        <v>cái</v>
      </c>
      <c r="G1329" s="595">
        <f>G1206+G1210*2</f>
        <v>0</v>
      </c>
      <c r="H1329" s="355"/>
      <c r="I1329" s="355">
        <f>H1329+J1329-K1329</f>
        <v>0</v>
      </c>
      <c r="J1329" s="355"/>
      <c r="K1329" s="355"/>
      <c r="L1329" s="367"/>
      <c r="M1329" s="332"/>
      <c r="N1329" s="340"/>
      <c r="O1329" s="341"/>
    </row>
    <row r="1330" spans="1:15" ht="16.2">
      <c r="A1330" s="288"/>
      <c r="B1330" s="351" t="s">
        <v>1040</v>
      </c>
      <c r="C1330" s="388" t="str">
        <f>IF(OR(I1330&lt;&gt;0,H1330&lt;&gt;0),"x"," ")</f>
        <v xml:space="preserve"> </v>
      </c>
      <c r="D1330" s="338" t="str">
        <f>VLOOKUP($B1330,DG!A:D,DG!$B$2,)</f>
        <v>06.1410</v>
      </c>
      <c r="E1330" s="366" t="str">
        <f>VLOOKUP($B1330,DG!A:D,DG!$C$2,)</f>
        <v>Lắp chuỗi sứ đỡ 2 bát/chuỗi</v>
      </c>
      <c r="F1330" s="594" t="str">
        <f>VLOOKUP($B1330,DG!A:D,DG!$D$2,)</f>
        <v>chuỗi</v>
      </c>
      <c r="G1330" s="595">
        <f>-SUM(G1240:G1240)</f>
        <v>0</v>
      </c>
      <c r="H1330" s="355"/>
      <c r="I1330" s="355">
        <f>H1330+J1330-K1330</f>
        <v>0</v>
      </c>
      <c r="J1330" s="355"/>
      <c r="K1330" s="355"/>
      <c r="L1330" s="367"/>
      <c r="M1330" s="332"/>
      <c r="N1330" s="340"/>
      <c r="O1330" s="341"/>
    </row>
    <row r="1331" spans="1:15" ht="16.2">
      <c r="A1331" s="288"/>
      <c r="B1331" s="351" t="s">
        <v>1041</v>
      </c>
      <c r="C1331" s="388" t="str">
        <f>IF(OR(I1331&lt;&gt;0,H1331&lt;&gt;0),"x"," ")</f>
        <v xml:space="preserve"> </v>
      </c>
      <c r="D1331" s="338" t="str">
        <f>VLOOKUP($B1331,DG!A:D,DG!$B$2,)</f>
        <v>06.1511</v>
      </c>
      <c r="E1331" s="366" t="s">
        <v>1132</v>
      </c>
      <c r="F1331" s="594" t="str">
        <f>VLOOKUP($B1331,DG!A:D,DG!$D$2,)</f>
        <v>chuỗi</v>
      </c>
      <c r="G1331" s="595"/>
      <c r="H1331" s="355"/>
      <c r="I1331" s="355">
        <f>H1331+J1331-K1331</f>
        <v>0</v>
      </c>
      <c r="J1331" s="355"/>
      <c r="K1331" s="355"/>
      <c r="L1331" s="367"/>
      <c r="M1331" s="332"/>
      <c r="N1331" s="340"/>
      <c r="O1331" s="341"/>
    </row>
    <row r="1332" spans="1:15" ht="16.2">
      <c r="A1332" s="288"/>
      <c r="B1332" s="351" t="s">
        <v>1041</v>
      </c>
      <c r="C1332" s="388" t="str">
        <f>IF(OR(I1332&lt;&gt;0,H1332&lt;&gt;0),"x"," ")</f>
        <v xml:space="preserve"> </v>
      </c>
      <c r="D1332" s="338" t="str">
        <f>VLOOKUP($B1332,DG!A:D,DG!$B$2,)</f>
        <v>06.1511</v>
      </c>
      <c r="E1332" s="366" t="str">
        <f>VLOOKUP($B1332,DG!A:D,DG!$C$2,)</f>
        <v>Lắp chuỗi sứ néo 2 bát/chuỗi</v>
      </c>
      <c r="F1332" s="594" t="str">
        <f>VLOOKUP($B1332,DG!A:D,DG!$D$2,)</f>
        <v>chuỗi</v>
      </c>
      <c r="G1332" s="595"/>
      <c r="H1332" s="355"/>
      <c r="I1332" s="355">
        <f>H1332+J1332-K1332</f>
        <v>0</v>
      </c>
      <c r="J1332" s="355"/>
      <c r="K1332" s="355"/>
      <c r="L1332" s="367"/>
      <c r="M1332" s="332"/>
      <c r="N1332" s="340"/>
      <c r="O1332" s="341"/>
    </row>
    <row r="1333" spans="1:15" ht="16.2">
      <c r="A1333" s="384"/>
      <c r="B1333" s="336" t="s">
        <v>1042</v>
      </c>
      <c r="C1333" s="388" t="str">
        <f>IF(OR(I1333&lt;&gt;0,H1333&lt;&gt;0),"x"," ")</f>
        <v xml:space="preserve"> </v>
      </c>
      <c r="D1333" s="338" t="str">
        <f>VLOOKUP($B1333,DG!A:D,DG!$B$2,)</f>
        <v>06.2201</v>
      </c>
      <c r="E1333" s="366" t="str">
        <f>VLOOKUP($B1333,DG!A:D,DG!$C$2,)</f>
        <v>Lắp chuỗi sứ néo Polymer</v>
      </c>
      <c r="F1333" s="594" t="str">
        <f>VLOOKUP($B1333,DG!A:D,DG!$D$2,)</f>
        <v>chuỗi</v>
      </c>
      <c r="G1333" s="595">
        <f>+G1223+G1325-G1639*3+G1229</f>
        <v>0</v>
      </c>
      <c r="H1333" s="355">
        <f>$G1333</f>
        <v>0</v>
      </c>
      <c r="I1333" s="355">
        <f>H1333+J1333-K1333</f>
        <v>0</v>
      </c>
      <c r="J1333" s="355"/>
      <c r="K1333" s="355"/>
      <c r="L1333" s="367"/>
      <c r="M1333" s="340"/>
      <c r="N1333" s="340"/>
      <c r="O1333" s="341"/>
    </row>
    <row r="1334" spans="1:15" ht="16.2">
      <c r="A1334" s="288"/>
      <c r="B1334" s="351" t="s">
        <v>2975</v>
      </c>
      <c r="C1334" s="388" t="str">
        <f>IF(OR(I1334&lt;&gt;0,H1334&lt;&gt;0),"x"," ")</f>
        <v xml:space="preserve"> </v>
      </c>
      <c r="D1334" s="338" t="str">
        <f>VLOOKUP($B1334,DG!A:D,DG!$B$2,)</f>
        <v>02.3155</v>
      </c>
      <c r="E1334" s="358" t="str">
        <f>"Tháo "&amp;VLOOKUP($B1334,DG!A:D,DG!$C$2,)&amp;" hiện hữu sử dụng lại"</f>
        <v>Tháo FCO 24kV - 100A hiện hữu sử dụng lại</v>
      </c>
      <c r="F1334" s="594" t="str">
        <f>VLOOKUP($B1334,DG!A:D,DG!$D$2,)</f>
        <v>cái</v>
      </c>
      <c r="G1334" s="595"/>
      <c r="H1334" s="355"/>
      <c r="I1334" s="355">
        <f>H1334+J1334-K1334</f>
        <v>0</v>
      </c>
      <c r="J1334" s="355"/>
      <c r="K1334" s="355"/>
      <c r="L1334" s="367"/>
      <c r="M1334" s="332"/>
      <c r="N1334" s="340"/>
      <c r="O1334" s="341"/>
    </row>
    <row r="1335" spans="1:15" ht="16.2">
      <c r="A1335" s="288"/>
      <c r="B1335" s="351" t="s">
        <v>1133</v>
      </c>
      <c r="C1335" s="388" t="str">
        <f>IF(OR(I1335&lt;&gt;0,H1335&lt;&gt;0),"x"," ")</f>
        <v xml:space="preserve"> </v>
      </c>
      <c r="D1335" s="338" t="str">
        <f>VLOOKUP($B1335,DG!A:D,DG!$B$2,)</f>
        <v>02.5114</v>
      </c>
      <c r="E1335" s="358" t="str">
        <f>"Thaùo "&amp;VLOOKUP($B1335,DG!A:D,DG!$C$2,)</f>
        <v>Thaùo LA 18kV 10kA</v>
      </c>
      <c r="F1335" s="594" t="str">
        <f>VLOOKUP($B1335,DG!A:D,DG!$D$2,)</f>
        <v>cái</v>
      </c>
      <c r="G1335" s="595"/>
      <c r="H1335" s="355"/>
      <c r="I1335" s="355">
        <f>H1335+J1335-K1335</f>
        <v>0</v>
      </c>
      <c r="J1335" s="355"/>
      <c r="K1335" s="355"/>
      <c r="L1335" s="367"/>
      <c r="M1335" s="332"/>
      <c r="N1335" s="340"/>
      <c r="O1335" s="341"/>
    </row>
    <row r="1336" spans="1:15" ht="16.2">
      <c r="A1336" s="288"/>
      <c r="B1336" s="351" t="s">
        <v>2975</v>
      </c>
      <c r="C1336" s="388" t="str">
        <f>IF(OR(I1336&lt;&gt;0,H1336&lt;&gt;0),"x"," ")</f>
        <v xml:space="preserve"> </v>
      </c>
      <c r="D1336" s="338" t="str">
        <f>VLOOKUP($B1336,DG!A:D,DG!$B$2,)</f>
        <v>02.3155</v>
      </c>
      <c r="E1336" s="358" t="str">
        <f>"Lắp "&amp;VLOOKUP($B1336,DG!A:D,DG!$C$2,)</f>
        <v>Lắp FCO 24kV - 100A</v>
      </c>
      <c r="F1336" s="594" t="str">
        <f>VLOOKUP($B1336,DG!A:D,DG!$D$2,)</f>
        <v>cái</v>
      </c>
      <c r="G1336" s="595"/>
      <c r="H1336" s="355"/>
      <c r="I1336" s="355">
        <f>H1336+J1336-K1336</f>
        <v>0</v>
      </c>
      <c r="J1336" s="355"/>
      <c r="K1336" s="355"/>
      <c r="L1336" s="367"/>
      <c r="M1336" s="332"/>
      <c r="N1336" s="340"/>
      <c r="O1336" s="341"/>
    </row>
    <row r="1337" spans="1:15" ht="16.2">
      <c r="A1337" s="288"/>
      <c r="B1337" s="351" t="s">
        <v>1133</v>
      </c>
      <c r="C1337" s="388" t="str">
        <f>IF(OR(I1337&lt;&gt;0,H1337&lt;&gt;0),"x"," ")</f>
        <v xml:space="preserve"> </v>
      </c>
      <c r="D1337" s="338" t="str">
        <f>VLOOKUP($B1337,DG!A:D,DG!$B$2,)</f>
        <v>02.5114</v>
      </c>
      <c r="E1337" s="358" t="str">
        <f>"Lắp "&amp;VLOOKUP($B1337,DG!A:D,DG!$C$2,)</f>
        <v>Lắp LA 18kV 10kA</v>
      </c>
      <c r="F1337" s="594" t="str">
        <f>VLOOKUP($B1337,DG!A:D,DG!$D$2,)</f>
        <v>cái</v>
      </c>
      <c r="G1337" s="595"/>
      <c r="H1337" s="355"/>
      <c r="I1337" s="355">
        <f>H1337+J1337-K1337</f>
        <v>0</v>
      </c>
      <c r="J1337" s="355"/>
      <c r="K1337" s="355"/>
      <c r="L1337" s="367"/>
      <c r="M1337" s="332"/>
      <c r="N1337" s="340"/>
      <c r="O1337" s="341"/>
    </row>
    <row r="1338" spans="1:15" ht="16.2">
      <c r="A1338" s="288"/>
      <c r="B1338" s="351" t="s">
        <v>1134</v>
      </c>
      <c r="C1338" s="388" t="str">
        <f>IF(OR(I1338&lt;&gt;0,H1338&lt;&gt;0),"x"," ")</f>
        <v xml:space="preserve"> </v>
      </c>
      <c r="D1338" s="338" t="str">
        <f>VLOOKUP($B1338,DG!A:D,DG!$B$2,)</f>
        <v>05.6001</v>
      </c>
      <c r="E1338" s="366" t="s">
        <v>1135</v>
      </c>
      <c r="F1338" s="594" t="str">
        <f>VLOOKUP($B1338,DG!A:D,DG!$D$2,)</f>
        <v>Kg</v>
      </c>
      <c r="G1338" s="595"/>
      <c r="H1338" s="355"/>
      <c r="I1338" s="355">
        <f>H1338+J1338-K1338</f>
        <v>0</v>
      </c>
      <c r="J1338" s="355"/>
      <c r="K1338" s="355"/>
      <c r="L1338" s="367"/>
      <c r="M1338" s="332"/>
      <c r="N1338" s="340"/>
      <c r="O1338" s="341"/>
    </row>
    <row r="1339" spans="1:15" ht="16.2">
      <c r="A1339" s="288"/>
      <c r="B1339" s="351" t="s">
        <v>1136</v>
      </c>
      <c r="C1339" s="388" t="str">
        <f>IF(OR(I1339&lt;&gt;0,H1339&lt;&gt;0),"x"," ")</f>
        <v xml:space="preserve"> </v>
      </c>
      <c r="D1339" s="338" t="str">
        <f>VLOOKUP($B1339,DG!A:D,DG!$B$2,)</f>
        <v>05.6100</v>
      </c>
      <c r="E1339" s="366" t="str">
        <f>"Lắp "&amp;VLOOKUP($B1339,DG!A:D,DG!$C$2,)</f>
        <v>Lắp Giá U 80x600 lắp FCO</v>
      </c>
      <c r="F1339" s="594" t="str">
        <f>VLOOKUP($B1339,DG!A:D,DG!$D$2,)</f>
        <v>bộ</v>
      </c>
      <c r="G1339" s="595"/>
      <c r="H1339" s="355"/>
      <c r="I1339" s="355">
        <f>H1339+J1339-K1339</f>
        <v>0</v>
      </c>
      <c r="J1339" s="355"/>
      <c r="K1339" s="355"/>
      <c r="L1339" s="367"/>
      <c r="M1339" s="332"/>
      <c r="N1339" s="340"/>
      <c r="O1339" s="341"/>
    </row>
    <row r="1340" spans="1:15" ht="16.2">
      <c r="A1340" s="288"/>
      <c r="B1340" s="351" t="s">
        <v>1076</v>
      </c>
      <c r="C1340" s="388" t="str">
        <f>IF(OR(I1340&lt;&gt;0,H1340&lt;&gt;0),"x"," ")</f>
        <v xml:space="preserve"> </v>
      </c>
      <c r="D1340" s="338" t="str">
        <f>VLOOKUP($B1340,DG!A:D,DG!$B$2,)</f>
        <v>06.3231</v>
      </c>
      <c r="E1340" s="366" t="s">
        <v>1137</v>
      </c>
      <c r="F1340" s="594" t="str">
        <f>VLOOKUP($B1340,DG!A:D,DG!$D$2,)</f>
        <v>cái</v>
      </c>
      <c r="G1340" s="595"/>
      <c r="H1340" s="355"/>
      <c r="I1340" s="355">
        <f>H1340+J1340-K1340</f>
        <v>0</v>
      </c>
      <c r="J1340" s="355"/>
      <c r="K1340" s="355"/>
      <c r="L1340" s="367"/>
      <c r="M1340" s="332"/>
      <c r="N1340" s="340"/>
      <c r="O1340" s="341"/>
    </row>
    <row r="1341" spans="1:15" ht="16.2">
      <c r="A1341" s="288"/>
      <c r="B1341" s="351" t="s">
        <v>831</v>
      </c>
      <c r="C1341" s="388" t="str">
        <f>IF(OR(I1341&lt;&gt;0,H1341&lt;&gt;0),"x"," ")</f>
        <v xml:space="preserve"> </v>
      </c>
      <c r="D1341" s="338" t="str">
        <f>VLOOKUP($B1341,DG!A:D,DG!$B$2,)</f>
        <v>05.6011</v>
      </c>
      <c r="E1341" s="366" t="s">
        <v>1138</v>
      </c>
      <c r="F1341" s="594" t="str">
        <f>VLOOKUP($B1341,DG!A:D,DG!$D$2,)</f>
        <v>bộ</v>
      </c>
      <c r="G1341" s="595"/>
      <c r="H1341" s="355"/>
      <c r="I1341" s="355">
        <f>H1341+J1341-K1341</f>
        <v>0</v>
      </c>
      <c r="J1341" s="355"/>
      <c r="K1341" s="355"/>
      <c r="L1341" s="367"/>
      <c r="M1341" s="332"/>
      <c r="N1341" s="340"/>
      <c r="O1341" s="341"/>
    </row>
    <row r="1342" spans="1:15" ht="16.2">
      <c r="A1342" s="288"/>
      <c r="B1342" s="351" t="s">
        <v>1046</v>
      </c>
      <c r="C1342" s="388" t="str">
        <f>IF(OR(I1342&lt;&gt;0,H1342&lt;&gt;0),"x"," ")</f>
        <v xml:space="preserve"> </v>
      </c>
      <c r="D1342" s="338" t="str">
        <f>VLOOKUP($B1342,DG!A:D,DG!$B$2,)</f>
        <v>06.1211</v>
      </c>
      <c r="E1342" s="366" t="s">
        <v>1139</v>
      </c>
      <c r="F1342" s="594" t="str">
        <f>VLOOKUP($B1342,DG!A:D,DG!$D$2,)</f>
        <v>bộ</v>
      </c>
      <c r="G1342" s="595"/>
      <c r="H1342" s="355"/>
      <c r="I1342" s="355">
        <f>H1342+J1342-K1342</f>
        <v>0</v>
      </c>
      <c r="J1342" s="355"/>
      <c r="K1342" s="355"/>
      <c r="L1342" s="367"/>
      <c r="M1342" s="332"/>
      <c r="N1342" s="340"/>
      <c r="O1342" s="341"/>
    </row>
    <row r="1343" spans="1:15" ht="16.2">
      <c r="A1343" s="384"/>
      <c r="B1343" s="336" t="s">
        <v>1046</v>
      </c>
      <c r="C1343" s="388" t="str">
        <f>IF(OR(I1343&lt;&gt;0,H1343&lt;&gt;0),"x"," ")</f>
        <v xml:space="preserve"> </v>
      </c>
      <c r="D1343" s="338" t="str">
        <f>VLOOKUP($B1343,DG!A:D,DG!$B$2,)</f>
        <v>06.1211</v>
      </c>
      <c r="E1343" s="366" t="str">
        <f>VLOOKUP($B1343,DG!A:D,DG!$C$2,)</f>
        <v>Lắp rack sứ + sứ ống chỉ</v>
      </c>
      <c r="F1343" s="594" t="str">
        <f>VLOOKUP($B1343,DG!A:D,DG!$D$2,)</f>
        <v>bộ</v>
      </c>
      <c r="G1343" s="595"/>
      <c r="H1343" s="355">
        <f>G1343</f>
        <v>0</v>
      </c>
      <c r="I1343" s="355">
        <f>H1343+J1343-K1343</f>
        <v>0</v>
      </c>
      <c r="J1343" s="355"/>
      <c r="K1343" s="355"/>
      <c r="L1343" s="367"/>
      <c r="M1343" s="340"/>
      <c r="N1343" s="340"/>
      <c r="O1343" s="341"/>
    </row>
    <row r="1344" spans="1:15" ht="16.2">
      <c r="A1344" s="288"/>
      <c r="B1344" s="351" t="s">
        <v>1140</v>
      </c>
      <c r="C1344" s="388" t="str">
        <f>IF(OR(I1344&lt;&gt;0,H1344&lt;&gt;0),"x"," ")</f>
        <v xml:space="preserve"> </v>
      </c>
      <c r="D1344" s="338" t="str">
        <f>VLOOKUP($B1344,DG!A:D,DG!$B$2,)</f>
        <v>06.1213</v>
      </c>
      <c r="E1344" s="366" t="str">
        <f>VLOOKUP($B1344,DG!A:D,DG!$C$2,)</f>
        <v>Lắp rack 2 sứ + sứ ống chỉ</v>
      </c>
      <c r="F1344" s="594" t="str">
        <f>VLOOKUP($B1344,DG!A:D,DG!$D$2,)</f>
        <v>bộ</v>
      </c>
      <c r="G1344" s="595">
        <f>G1298</f>
        <v>0</v>
      </c>
      <c r="H1344" s="355"/>
      <c r="I1344" s="355">
        <f>H1344+J1344-K1344</f>
        <v>0</v>
      </c>
      <c r="J1344" s="355"/>
      <c r="K1344" s="355"/>
      <c r="L1344" s="367"/>
      <c r="M1344" s="332"/>
      <c r="N1344" s="340"/>
      <c r="O1344" s="341"/>
    </row>
    <row r="1345" spans="1:15" ht="16.2">
      <c r="A1345" s="288"/>
      <c r="B1345" s="351" t="s">
        <v>1141</v>
      </c>
      <c r="C1345" s="388" t="str">
        <f>IF(OR(I1345&lt;&gt;0,H1345&lt;&gt;0),"x"," ")</f>
        <v xml:space="preserve"> </v>
      </c>
      <c r="D1345" s="338" t="str">
        <f>VLOOKUP($B1345,DG!A:D,DG!$B$2,)</f>
        <v>06.1214</v>
      </c>
      <c r="E1345" s="366" t="s">
        <v>1142</v>
      </c>
      <c r="F1345" s="594" t="str">
        <f>VLOOKUP($B1345,DG!A:D,DG!$D$2,)</f>
        <v>bộ</v>
      </c>
      <c r="G1345" s="595"/>
      <c r="H1345" s="355"/>
      <c r="I1345" s="355">
        <f>H1345+J1345-K1345</f>
        <v>0</v>
      </c>
      <c r="J1345" s="355"/>
      <c r="K1345" s="355"/>
      <c r="L1345" s="367"/>
      <c r="M1345" s="332"/>
      <c r="N1345" s="340"/>
      <c r="O1345" s="341"/>
    </row>
    <row r="1346" spans="1:15" ht="16.2">
      <c r="A1346" s="288"/>
      <c r="B1346" s="351" t="s">
        <v>1143</v>
      </c>
      <c r="C1346" s="388" t="str">
        <f>IF(OR(I1346&lt;&gt;0,H1346&lt;&gt;0),"x"," ")</f>
        <v xml:space="preserve"> </v>
      </c>
      <c r="D1346" s="338" t="str">
        <f>VLOOKUP($B1346,DG!A:D,DG!$B$2,)</f>
        <v>06.1214</v>
      </c>
      <c r="E1346" s="366" t="str">
        <f>VLOOKUP($B1346,DG!A:D,DG!$C$2,)</f>
        <v>Lắp rack 3 sứ + sứ ống chỉ</v>
      </c>
      <c r="F1346" s="594" t="str">
        <f>VLOOKUP($B1346,DG!A:D,DG!$D$2,)</f>
        <v>bộ</v>
      </c>
      <c r="G1346" s="595"/>
      <c r="H1346" s="355"/>
      <c r="I1346" s="355">
        <f>H1346+J1346-K1346</f>
        <v>0</v>
      </c>
      <c r="J1346" s="355"/>
      <c r="K1346" s="355"/>
      <c r="L1346" s="367"/>
      <c r="M1346" s="332"/>
      <c r="N1346" s="340"/>
      <c r="O1346" s="341"/>
    </row>
    <row r="1347" spans="1:15" ht="16.2">
      <c r="A1347" s="288"/>
      <c r="B1347" s="351" t="s">
        <v>1144</v>
      </c>
      <c r="C1347" s="388" t="str">
        <f>IF(OR(I1347&lt;&gt;0,H1347&lt;&gt;0),"x"," ")</f>
        <v xml:space="preserve"> </v>
      </c>
      <c r="D1347" s="338" t="str">
        <f>VLOOKUP($B1347,DG!A:D,DG!$B$2,)</f>
        <v>06.1215</v>
      </c>
      <c r="E1347" s="366" t="s">
        <v>1145</v>
      </c>
      <c r="F1347" s="594" t="str">
        <f>VLOOKUP($B1347,DG!A:D,DG!$D$2,)</f>
        <v>bộ</v>
      </c>
      <c r="G1347" s="595"/>
      <c r="H1347" s="355"/>
      <c r="I1347" s="355">
        <f>H1347+J1347-K1347</f>
        <v>0</v>
      </c>
      <c r="J1347" s="355"/>
      <c r="K1347" s="355"/>
      <c r="L1347" s="367"/>
      <c r="M1347" s="332"/>
      <c r="N1347" s="340"/>
      <c r="O1347" s="341"/>
    </row>
    <row r="1348" spans="1:15" ht="16.2">
      <c r="A1348" s="288"/>
      <c r="B1348" s="351" t="s">
        <v>1146</v>
      </c>
      <c r="C1348" s="388" t="str">
        <f>IF(OR(I1348&lt;&gt;0,H1348&lt;&gt;0),"x"," ")</f>
        <v xml:space="preserve"> </v>
      </c>
      <c r="D1348" s="338" t="str">
        <f>VLOOKUP($B1348,DG!A:D,DG!$B$2,)</f>
        <v>06.1215</v>
      </c>
      <c r="E1348" s="366" t="str">
        <f>VLOOKUP($B1348,DG!A:D,DG!$C$2,)</f>
        <v>Lắp rack 4 sứ + sứ ống chỉ</v>
      </c>
      <c r="F1348" s="594" t="str">
        <f>VLOOKUP($B1348,DG!A:D,DG!$D$2,)</f>
        <v>bộ</v>
      </c>
      <c r="G1348" s="595"/>
      <c r="H1348" s="355"/>
      <c r="I1348" s="355">
        <f>H1348+J1348-K1348</f>
        <v>0</v>
      </c>
      <c r="J1348" s="355"/>
      <c r="K1348" s="355"/>
      <c r="L1348" s="367"/>
      <c r="M1348" s="332"/>
      <c r="N1348" s="340"/>
      <c r="O1348" s="341"/>
    </row>
    <row r="1349" spans="1:15" ht="16.2">
      <c r="A1349" s="288"/>
      <c r="B1349" s="351" t="s">
        <v>1058</v>
      </c>
      <c r="C1349" s="388" t="str">
        <f>IF(OR(I1349&lt;&gt;0,H1349&lt;&gt;0),"x"," ")</f>
        <v xml:space="preserve"> </v>
      </c>
      <c r="D1349" s="396" t="str">
        <f>VLOOKUP($B1349,DG!A:D,DG!$B$2,)</f>
        <v>06.5072</v>
      </c>
      <c r="E1349" s="366" t="str">
        <f>VLOOKUP($B1349,DG!A:D,DG!$C$2,)</f>
        <v xml:space="preserve">Kéo dây qua vị trí bẻ góc dây </v>
      </c>
      <c r="F1349" s="594" t="str">
        <f>VLOOKUP($B1349,DG!A:D,DG!$D$2,)</f>
        <v>vị trí</v>
      </c>
      <c r="G1349" s="595"/>
      <c r="H1349" s="355"/>
      <c r="I1349" s="355">
        <f>H1349+J1349-K1349</f>
        <v>0</v>
      </c>
      <c r="J1349" s="355"/>
      <c r="K1349" s="355"/>
      <c r="L1349" s="367"/>
      <c r="M1349" s="332"/>
      <c r="N1349" s="340"/>
      <c r="O1349" s="341"/>
    </row>
    <row r="1350" spans="1:15" ht="16.2">
      <c r="A1350" s="288"/>
      <c r="B1350" s="351" t="s">
        <v>1059</v>
      </c>
      <c r="C1350" s="388" t="str">
        <f>IF(OR(I1350&lt;&gt;0,H1350&lt;&gt;0),"x"," ")</f>
        <v xml:space="preserve"> </v>
      </c>
      <c r="D1350" s="338" t="str">
        <f>VLOOKUP($B1350,DG!A:D,DG!$B$2,)</f>
        <v>06.5082</v>
      </c>
      <c r="E1350" s="366" t="str">
        <f>VLOOKUP($B1350,DG!A:D,DG!$C$2,)</f>
        <v>Kéo dây qua sông ( S&lt;=300)</v>
      </c>
      <c r="F1350" s="594" t="str">
        <f>VLOOKUP($B1350,DG!A:D,DG!$D$2,)</f>
        <v>vị trí</v>
      </c>
      <c r="G1350" s="595"/>
      <c r="H1350" s="355"/>
      <c r="I1350" s="355">
        <f>H1350+J1350-K1350</f>
        <v>0</v>
      </c>
      <c r="J1350" s="355"/>
      <c r="K1350" s="355"/>
      <c r="L1350" s="367"/>
      <c r="M1350" s="332"/>
      <c r="N1350" s="340"/>
      <c r="O1350" s="341"/>
    </row>
    <row r="1351" spans="1:15" ht="16.2">
      <c r="A1351" s="288"/>
      <c r="B1351" s="351" t="s">
        <v>1060</v>
      </c>
      <c r="C1351" s="388" t="str">
        <f>IF(OR(I1351&lt;&gt;0,H1351&lt;&gt;0),"x"," ")</f>
        <v xml:space="preserve"> </v>
      </c>
      <c r="D1351" s="338" t="str">
        <f>VLOOKUP($B1351,DG!A:D,DG!$B$2,)</f>
        <v>02.1122</v>
      </c>
      <c r="E1351" s="366" t="str">
        <f>VLOOKUP($B1351,DG!A:D,DG!$C$2,)</f>
        <v>Bốc dỡ dây</v>
      </c>
      <c r="F1351" s="594" t="str">
        <f>VLOOKUP($B1351,DG!A:D,DG!$D$2,)</f>
        <v>tấn</v>
      </c>
      <c r="G1351" s="595"/>
      <c r="H1351" s="355"/>
      <c r="I1351" s="355">
        <f>H1351+J1351-K1351</f>
        <v>0</v>
      </c>
      <c r="J1351" s="355"/>
      <c r="K1351" s="355"/>
      <c r="L1351" s="367"/>
      <c r="M1351" s="332"/>
      <c r="N1351" s="340"/>
      <c r="O1351" s="341"/>
    </row>
    <row r="1352" spans="1:15" ht="16.2">
      <c r="A1352" s="288"/>
      <c r="B1352" s="351" t="s">
        <v>604</v>
      </c>
      <c r="C1352" s="388" t="str">
        <f>IF(OR(I1352&lt;&gt;0,H1352&lt;&gt;0),"x"," ")</f>
        <v xml:space="preserve"> </v>
      </c>
      <c r="D1352" s="338" t="str">
        <f>VLOOKUP($B1352,DG!A:D,DG!$B$2,)</f>
        <v>02.1120</v>
      </c>
      <c r="E1352" s="366" t="str">
        <f>VLOOKUP($B1352,DG!A:D,DG!$C$2,)</f>
        <v>Bốc dỡ phụ kiện</v>
      </c>
      <c r="F1352" s="594" t="str">
        <f>VLOOKUP($B1352,DG!A:D,DG!$D$2,)</f>
        <v>tấn</v>
      </c>
      <c r="G1352" s="595"/>
      <c r="H1352" s="355"/>
      <c r="I1352" s="355">
        <f>H1352+J1352-K1352</f>
        <v>0</v>
      </c>
      <c r="J1352" s="355"/>
      <c r="K1352" s="355"/>
      <c r="L1352" s="367"/>
      <c r="M1352" s="332"/>
      <c r="N1352" s="340"/>
      <c r="O1352" s="341"/>
    </row>
    <row r="1353" spans="1:15" ht="16.2">
      <c r="A1353" s="288"/>
      <c r="B1353" s="371" t="s">
        <v>827</v>
      </c>
      <c r="C1353" s="388" t="str">
        <f>IF(OR(I1353&lt;&gt;0,H1353&lt;&gt;0),"x"," ")</f>
        <v xml:space="preserve"> </v>
      </c>
      <c r="D1353" s="338" t="str">
        <f>VLOOKUP($B1353,DG!A:D,DG!$B$2,)</f>
        <v>02.1421</v>
      </c>
      <c r="E1353" s="366" t="str">
        <f>VLOOKUP($B1353,DG!A:D,DG!$C$2,)</f>
        <v>V/c phụ kiện vào vị trí (cự ly &lt;=100m)</v>
      </c>
      <c r="F1353" s="594" t="str">
        <f>VLOOKUP($B1353,DG!A:D,DG!$D$2,)</f>
        <v>tấn</v>
      </c>
      <c r="G1353" s="595"/>
      <c r="H1353" s="355"/>
      <c r="I1353" s="355">
        <f>H1353+J1353-K1353</f>
        <v>0</v>
      </c>
      <c r="J1353" s="355"/>
      <c r="K1353" s="355"/>
      <c r="L1353" s="367"/>
      <c r="M1353" s="332"/>
      <c r="N1353" s="340"/>
      <c r="O1353" s="341"/>
    </row>
    <row r="1354" spans="1:15" ht="16.2">
      <c r="A1354" s="288"/>
      <c r="B1354" s="371" t="s">
        <v>1061</v>
      </c>
      <c r="C1354" s="388" t="str">
        <f>IF(OR(I1354&lt;&gt;0,H1354&lt;&gt;0),"x"," ")</f>
        <v xml:space="preserve"> </v>
      </c>
      <c r="D1354" s="338" t="str">
        <f>VLOOKUP($B1354,DG!A:D,DG!$B$2,)</f>
        <v>02.1441</v>
      </c>
      <c r="E1354" s="366" t="str">
        <f>VLOOKUP($B1354,DG!A:D,DG!$C$2,)</f>
        <v>V/c dây vào vị trí (cự ly &lt;=100m)</v>
      </c>
      <c r="F1354" s="594" t="str">
        <f>VLOOKUP($B1354,DG!A:D,DG!$D$2,)</f>
        <v>tấn</v>
      </c>
      <c r="G1354" s="595"/>
      <c r="H1354" s="355"/>
      <c r="I1354" s="355">
        <f>H1354+J1354-K1354</f>
        <v>0</v>
      </c>
      <c r="J1354" s="355"/>
      <c r="K1354" s="355"/>
      <c r="L1354" s="367"/>
      <c r="M1354" s="332"/>
      <c r="N1354" s="340"/>
      <c r="O1354" s="341"/>
    </row>
    <row r="1355" spans="1:15" ht="16.2">
      <c r="A1355" s="288"/>
      <c r="B1355" s="356" t="s">
        <v>901</v>
      </c>
      <c r="C1355" s="388" t="str">
        <f>IF(OR(I1355&lt;&gt;0,H1355&lt;&gt;0),"x"," ")</f>
        <v xml:space="preserve"> </v>
      </c>
      <c r="D1355" s="338" t="str">
        <f>VLOOKUP($B1355,DG!A:D,DG!$B$2,)</f>
        <v>02.1482</v>
      </c>
      <c r="E1355" s="366" t="str">
        <f>VLOOKUP($B1355,DG!A:D,DG!$C$2,)</f>
        <v>V/c dụng cụ thi công vào vị trí (cự ly &lt;=100m)</v>
      </c>
      <c r="F1355" s="594" t="str">
        <f>VLOOKUP($B1355,DG!A:D,DG!$D$2,)</f>
        <v>tấn</v>
      </c>
      <c r="G1355" s="595"/>
      <c r="H1355" s="355"/>
      <c r="I1355" s="355">
        <f>H1355+J1355-K1355</f>
        <v>0</v>
      </c>
      <c r="J1355" s="355"/>
      <c r="K1355" s="355"/>
      <c r="L1355" s="367"/>
      <c r="M1355" s="332"/>
      <c r="N1355" s="340"/>
      <c r="O1355" s="341"/>
    </row>
    <row r="1356" spans="1:15" ht="16.2">
      <c r="A1356" s="342" t="s">
        <v>1147</v>
      </c>
      <c r="B1356" s="343" t="s">
        <v>1147</v>
      </c>
      <c r="C1356" s="388" t="str">
        <f>IF(G1356&lt;&gt;0,"x"," ")</f>
        <v xml:space="preserve"> </v>
      </c>
      <c r="D1356" s="347" t="s">
        <v>932</v>
      </c>
      <c r="E1356" s="346" t="s">
        <v>1148</v>
      </c>
      <c r="F1356" s="593" t="s">
        <v>934</v>
      </c>
      <c r="G1356" s="349">
        <f>IF(SUM(G1357:G1374)=0,0,1)</f>
        <v>0</v>
      </c>
      <c r="H1356" s="349">
        <f>IFERROR(HLOOKUP(B1356,'BKT-ThuHoi'!$5:$183,179,0),0)</f>
        <v>0</v>
      </c>
      <c r="I1356" s="350"/>
      <c r="J1356" s="350"/>
      <c r="K1356" s="350"/>
      <c r="L1356" s="348"/>
      <c r="M1356" s="332"/>
      <c r="N1356" s="340"/>
      <c r="O1356" s="341"/>
    </row>
    <row r="1357" spans="1:15" ht="16.2">
      <c r="A1357" s="288"/>
      <c r="B1357" s="351" t="s">
        <v>940</v>
      </c>
      <c r="C1357" s="388" t="str">
        <f>IF(OR(I1357&lt;&gt;0,H1357&lt;&gt;0),"x"," ")</f>
        <v xml:space="preserve"> </v>
      </c>
      <c r="D1357" s="410">
        <f>[3]pp1p!C93</f>
        <v>0</v>
      </c>
      <c r="E1357" s="358" t="str">
        <f>VLOOKUP($B1357,DG!A:D,DG!$C$2,)</f>
        <v>Cáp nhôm lõi thép AC-70/11</v>
      </c>
      <c r="F1357" s="594" t="str">
        <f>VLOOKUP($B1357,DG!A:D,DG!$D$2,)</f>
        <v>kg</v>
      </c>
      <c r="G1357" s="595">
        <f>ROUND(D1357*1.03*0.276,2)</f>
        <v>0</v>
      </c>
      <c r="H1357" s="355">
        <f t="shared" ref="H1357:H1403" si="67">G1357</f>
        <v>0</v>
      </c>
      <c r="I1357" s="355">
        <f>H1357+J1357-K1357</f>
        <v>0</v>
      </c>
      <c r="J1357" s="355"/>
      <c r="K1357" s="355"/>
      <c r="L1357" s="367"/>
      <c r="M1357" s="332"/>
      <c r="N1357" s="340"/>
      <c r="O1357" s="341"/>
    </row>
    <row r="1358" spans="1:15" ht="16.2">
      <c r="A1358" s="288"/>
      <c r="B1358" s="351" t="s">
        <v>941</v>
      </c>
      <c r="C1358" s="388" t="str">
        <f>IF(OR(I1358&lt;&gt;0,H1358&lt;&gt;0),"x"," ")</f>
        <v xml:space="preserve"> </v>
      </c>
      <c r="D1358" s="410">
        <f>[3]pp1p!C94</f>
        <v>0</v>
      </c>
      <c r="E1358" s="358" t="str">
        <f>VLOOKUP($B1358,DG!A:D,DG!$C$2,)</f>
        <v>Cáp nhôm lõi thép AC-50/8</v>
      </c>
      <c r="F1358" s="594" t="str">
        <f>VLOOKUP($B1358,DG!A:D,DG!$D$2,)</f>
        <v>kg</v>
      </c>
      <c r="G1358" s="595">
        <f>ROUND(D1358*1.02*0.195,2)</f>
        <v>0</v>
      </c>
      <c r="H1358" s="355">
        <f>G1358</f>
        <v>0</v>
      </c>
      <c r="I1358" s="355">
        <f>H1358+J1358-K1358</f>
        <v>0</v>
      </c>
      <c r="J1358" s="355"/>
      <c r="K1358" s="355"/>
      <c r="L1358" s="367"/>
      <c r="M1358" s="332"/>
      <c r="N1358" s="340"/>
      <c r="O1358" s="341"/>
    </row>
    <row r="1359" spans="1:15" ht="16.2">
      <c r="A1359" s="288"/>
      <c r="B1359" s="351" t="s">
        <v>942</v>
      </c>
      <c r="C1359" s="388" t="str">
        <f>IF(OR(I1359&lt;&gt;0,H1359&lt;&gt;0),"x"," ")</f>
        <v xml:space="preserve"> </v>
      </c>
      <c r="D1359" s="410">
        <f>[3]pp1p!C97</f>
        <v>0</v>
      </c>
      <c r="E1359" s="358" t="str">
        <f>VLOOKUP($B1359,DG!A:D,DG!$C$2,)</f>
        <v>Cáp 24KV AS/XLPE/PVC 50 mm2</v>
      </c>
      <c r="F1359" s="594" t="str">
        <f>VLOOKUP($B1359,DG!A:D,DG!$D$2,)</f>
        <v>mét</v>
      </c>
      <c r="G1359" s="595">
        <f>ROUND(D1359*1.03,2)</f>
        <v>0</v>
      </c>
      <c r="H1359" s="355">
        <f t="shared" si="67"/>
        <v>0</v>
      </c>
      <c r="I1359" s="355">
        <f>H1359+J1359-K1359</f>
        <v>0</v>
      </c>
      <c r="J1359" s="355"/>
      <c r="K1359" s="355"/>
      <c r="L1359" s="367"/>
      <c r="M1359" s="332"/>
      <c r="N1359" s="340"/>
      <c r="O1359" s="341"/>
    </row>
    <row r="1360" spans="1:15" ht="16.2">
      <c r="A1360" s="288"/>
      <c r="B1360" s="411" t="s">
        <v>949</v>
      </c>
      <c r="C1360" s="388" t="str">
        <f>IF(OR(I1360&lt;&gt;0,H1360&lt;&gt;0),"x"," ")</f>
        <v>x</v>
      </c>
      <c r="D1360" s="338"/>
      <c r="E1360" s="412" t="s">
        <v>950</v>
      </c>
      <c r="F1360" s="593" t="s">
        <v>775</v>
      </c>
      <c r="G1360" s="349">
        <f>[3]pp1p!BW90</f>
        <v>0</v>
      </c>
      <c r="H1360" s="349">
        <f>IFERROR(HLOOKUP(B1360,'BKT-ThuHoi'!$5:$183,179,0),0)</f>
        <v>86</v>
      </c>
      <c r="I1360" s="350">
        <f>H1360+J1360-K1360</f>
        <v>86</v>
      </c>
      <c r="J1360" s="350"/>
      <c r="K1360" s="350"/>
      <c r="L1360" s="348"/>
      <c r="M1360" s="332"/>
      <c r="N1360" s="340"/>
      <c r="O1360" s="341"/>
    </row>
    <row r="1361" spans="1:15" ht="16.2">
      <c r="A1361" s="288"/>
      <c r="B1361" s="351" t="s">
        <v>951</v>
      </c>
      <c r="C1361" s="388" t="str">
        <f>IF(OR(I1361&lt;&gt;0,H1361&lt;&gt;0),"x"," ")</f>
        <v xml:space="preserve"> </v>
      </c>
      <c r="D1361" s="338"/>
      <c r="E1361" s="358" t="str">
        <f>VLOOKUP($B1361,DG!A:D,DG!$C$2,)</f>
        <v>Uclevis</v>
      </c>
      <c r="F1361" s="594" t="str">
        <f>VLOOKUP($B1361,DG!A:D,DG!$D$2,)</f>
        <v>bộ</v>
      </c>
      <c r="G1361" s="595">
        <f>G1360</f>
        <v>0</v>
      </c>
      <c r="H1361" s="355">
        <f>G1361</f>
        <v>0</v>
      </c>
      <c r="I1361" s="355">
        <f>H1361+J1361-K1361</f>
        <v>0</v>
      </c>
      <c r="J1361" s="355"/>
      <c r="K1361" s="355"/>
      <c r="L1361" s="367"/>
      <c r="M1361" s="332"/>
      <c r="N1361" s="340"/>
      <c r="O1361" s="341"/>
    </row>
    <row r="1362" spans="1:15" ht="16.2">
      <c r="A1362" s="288"/>
      <c r="B1362" s="351" t="s">
        <v>717</v>
      </c>
      <c r="C1362" s="388" t="str">
        <f>IF(OR(I1362&lt;&gt;0,H1362&lt;&gt;0),"x"," ")</f>
        <v xml:space="preserve"> </v>
      </c>
      <c r="D1362" s="338"/>
      <c r="E1362" s="358" t="str">
        <f>VLOOKUP($B1362,DG!A:D,DG!$C$2,)</f>
        <v>Boulon 16x300</v>
      </c>
      <c r="F1362" s="594" t="str">
        <f>VLOOKUP($B1362,DG!A:D,DG!$D$2,)</f>
        <v>bộ</v>
      </c>
      <c r="G1362" s="595">
        <f>G1360</f>
        <v>0</v>
      </c>
      <c r="H1362" s="355">
        <f>G1362</f>
        <v>0</v>
      </c>
      <c r="I1362" s="355">
        <f>H1362+J1362-K1362</f>
        <v>0</v>
      </c>
      <c r="J1362" s="355"/>
      <c r="K1362" s="355"/>
      <c r="L1362" s="367"/>
      <c r="M1362" s="332"/>
      <c r="N1362" s="340"/>
      <c r="O1362" s="341"/>
    </row>
    <row r="1363" spans="1:15" ht="16.2">
      <c r="A1363" s="288"/>
      <c r="B1363" s="411" t="s">
        <v>952</v>
      </c>
      <c r="C1363" s="388" t="str">
        <f>IF(OR(I1363&lt;&gt;0,H1363&lt;&gt;0),"x"," ")</f>
        <v xml:space="preserve"> </v>
      </c>
      <c r="D1363" s="338"/>
      <c r="E1363" s="412" t="s">
        <v>953</v>
      </c>
      <c r="F1363" s="593" t="s">
        <v>775</v>
      </c>
      <c r="G1363" s="349">
        <f>[3]pp1p!BX90</f>
        <v>0</v>
      </c>
      <c r="H1363" s="349">
        <f>IFERROR(HLOOKUP(B1363,'BKT-ThuHoi'!$5:$183,179,0),0)</f>
        <v>0</v>
      </c>
      <c r="I1363" s="350">
        <f>H1363+J1363-K1363</f>
        <v>0</v>
      </c>
      <c r="J1363" s="350"/>
      <c r="K1363" s="350"/>
      <c r="L1363" s="348"/>
      <c r="M1363" s="332"/>
      <c r="N1363" s="340"/>
      <c r="O1363" s="341"/>
    </row>
    <row r="1364" spans="1:15" ht="16.2">
      <c r="A1364" s="288"/>
      <c r="B1364" s="351" t="s">
        <v>951</v>
      </c>
      <c r="C1364" s="388" t="str">
        <f>IF(OR(I1364&lt;&gt;0,H1364&lt;&gt;0),"x"," ")</f>
        <v xml:space="preserve"> </v>
      </c>
      <c r="D1364" s="338"/>
      <c r="E1364" s="358" t="str">
        <f>VLOOKUP($B1364,DG!A:D,DG!$C$2,)</f>
        <v>Uclevis</v>
      </c>
      <c r="F1364" s="594" t="str">
        <f>VLOOKUP($B1364,DG!A:D,DG!$D$2,)</f>
        <v>bộ</v>
      </c>
      <c r="G1364" s="595">
        <f>G1363</f>
        <v>0</v>
      </c>
      <c r="H1364" s="355">
        <f t="shared" si="67"/>
        <v>0</v>
      </c>
      <c r="I1364" s="355">
        <f>H1364+J1364-K1364</f>
        <v>0</v>
      </c>
      <c r="J1364" s="355"/>
      <c r="K1364" s="355"/>
      <c r="L1364" s="367"/>
      <c r="M1364" s="332"/>
      <c r="N1364" s="340"/>
      <c r="O1364" s="341"/>
    </row>
    <row r="1365" spans="1:15" ht="16.2">
      <c r="A1365" s="288"/>
      <c r="B1365" s="351" t="s">
        <v>717</v>
      </c>
      <c r="C1365" s="388" t="str">
        <f>IF(OR(I1365&lt;&gt;0,H1365&lt;&gt;0),"x"," ")</f>
        <v xml:space="preserve"> </v>
      </c>
      <c r="D1365" s="338"/>
      <c r="E1365" s="358" t="str">
        <f>VLOOKUP($B1365,DG!A:D,DG!$C$2,)</f>
        <v>Boulon 16x300</v>
      </c>
      <c r="F1365" s="594" t="str">
        <f>VLOOKUP($B1365,DG!A:D,DG!$D$2,)</f>
        <v>bộ</v>
      </c>
      <c r="G1365" s="595">
        <f>G1363</f>
        <v>0</v>
      </c>
      <c r="H1365" s="355">
        <f t="shared" si="67"/>
        <v>0</v>
      </c>
      <c r="I1365" s="355">
        <f>H1365+J1365-K1365</f>
        <v>0</v>
      </c>
      <c r="J1365" s="355"/>
      <c r="K1365" s="355"/>
      <c r="L1365" s="367"/>
      <c r="M1365" s="332"/>
      <c r="N1365" s="340"/>
      <c r="O1365" s="341"/>
    </row>
    <row r="1366" spans="1:15" ht="16.2">
      <c r="A1366" s="288"/>
      <c r="B1366" s="351" t="s">
        <v>954</v>
      </c>
      <c r="C1366" s="388" t="str">
        <f>IF(OR(I1366&lt;&gt;0,H1366&lt;&gt;0),"x"," ")</f>
        <v xml:space="preserve"> </v>
      </c>
      <c r="D1366" s="338"/>
      <c r="E1366" s="358" t="str">
        <f>VLOOKUP($B1366,DG!A:D,DG!$C$2,)</f>
        <v>Kẹp 2 rãnh (APC) cỡ dây 50mm2</v>
      </c>
      <c r="F1366" s="594" t="str">
        <f>VLOOKUP($B1366,DG!A:D,DG!$D$2,)</f>
        <v>cái</v>
      </c>
      <c r="G1366" s="595">
        <f>G1363*6</f>
        <v>0</v>
      </c>
      <c r="H1366" s="355">
        <f t="shared" si="67"/>
        <v>0</v>
      </c>
      <c r="I1366" s="355">
        <f>H1366+J1366-K1366</f>
        <v>0</v>
      </c>
      <c r="J1366" s="355"/>
      <c r="K1366" s="355"/>
      <c r="L1366" s="367"/>
      <c r="M1366" s="332"/>
      <c r="N1366" s="340"/>
      <c r="O1366" s="341"/>
    </row>
    <row r="1367" spans="1:15" ht="16.2">
      <c r="A1367" s="288"/>
      <c r="B1367" s="411" t="s">
        <v>955</v>
      </c>
      <c r="C1367" s="388" t="str">
        <f>IF(OR(I1367&lt;&gt;0,H1367&lt;&gt;0),"x"," ")</f>
        <v xml:space="preserve"> </v>
      </c>
      <c r="D1367" s="338"/>
      <c r="E1367" s="412" t="s">
        <v>956</v>
      </c>
      <c r="F1367" s="593" t="s">
        <v>775</v>
      </c>
      <c r="G1367" s="349">
        <f>[3]pp1p!BY90</f>
        <v>0</v>
      </c>
      <c r="H1367" s="349">
        <f>IFERROR(HLOOKUP(B1367,'BKT-ThuHoi'!$5:$183,179,0),0)</f>
        <v>0</v>
      </c>
      <c r="I1367" s="350">
        <f>H1367+J1367-K1367</f>
        <v>0</v>
      </c>
      <c r="J1367" s="350"/>
      <c r="K1367" s="350"/>
      <c r="L1367" s="348"/>
      <c r="M1367" s="332"/>
      <c r="N1367" s="340"/>
      <c r="O1367" s="341"/>
    </row>
    <row r="1368" spans="1:15" ht="16.2">
      <c r="A1368" s="288"/>
      <c r="B1368" s="413" t="s">
        <v>957</v>
      </c>
      <c r="C1368" s="388" t="str">
        <f>IF(OR(I1368&lt;&gt;0,H1368&lt;&gt;0),"x"," ")</f>
        <v xml:space="preserve"> </v>
      </c>
      <c r="D1368" s="338"/>
      <c r="E1368" s="358" t="str">
        <f>VLOOKUP($B1368,DG!A:D,DG!$C$2,)</f>
        <v>Khóa néo dây cỡ dây 50</v>
      </c>
      <c r="F1368" s="594" t="s">
        <v>281</v>
      </c>
      <c r="G1368" s="595">
        <f>G1367</f>
        <v>0</v>
      </c>
      <c r="H1368" s="355">
        <f>$G1368</f>
        <v>0</v>
      </c>
      <c r="I1368" s="355">
        <f>H1368+J1368-K1368</f>
        <v>0</v>
      </c>
      <c r="J1368" s="355"/>
      <c r="K1368" s="355"/>
      <c r="L1368" s="367"/>
      <c r="M1368" s="332"/>
      <c r="N1368" s="340"/>
      <c r="O1368" s="341"/>
    </row>
    <row r="1369" spans="1:15" ht="16.2">
      <c r="A1369" s="288"/>
      <c r="B1369" s="351" t="s">
        <v>958</v>
      </c>
      <c r="C1369" s="388" t="str">
        <f>IF(OR(I1369&lt;&gt;0,H1369&lt;&gt;0),"x"," ")</f>
        <v xml:space="preserve"> </v>
      </c>
      <c r="D1369" s="338"/>
      <c r="E1369" s="358" t="str">
        <f>VLOOKUP($B1369,DG!A:D,DG!$C$2,)</f>
        <v xml:space="preserve">Móc treo chữ U </v>
      </c>
      <c r="F1369" s="594" t="s">
        <v>281</v>
      </c>
      <c r="G1369" s="595">
        <f>G1367*2</f>
        <v>0</v>
      </c>
      <c r="H1369" s="355">
        <f>$G1369</f>
        <v>0</v>
      </c>
      <c r="I1369" s="355">
        <f>H1369+J1369-K1369</f>
        <v>0</v>
      </c>
      <c r="J1369" s="355"/>
      <c r="K1369" s="355"/>
      <c r="L1369" s="367"/>
      <c r="M1369" s="332"/>
      <c r="N1369" s="340"/>
      <c r="O1369" s="341"/>
    </row>
    <row r="1370" spans="1:15" ht="16.2">
      <c r="A1370" s="288"/>
      <c r="B1370" s="351" t="s">
        <v>840</v>
      </c>
      <c r="C1370" s="388" t="str">
        <f>IF(OR(I1370&lt;&gt;0,H1370&lt;&gt;0),"x"," ")</f>
        <v xml:space="preserve"> </v>
      </c>
      <c r="D1370" s="338"/>
      <c r="E1370" s="358" t="str">
        <f>VLOOKUP($B1370,DG!A:D,DG!$C$2,)</f>
        <v>Boulon mắt 16x300</v>
      </c>
      <c r="F1370" s="594" t="s">
        <v>775</v>
      </c>
      <c r="G1370" s="595">
        <f>G1368</f>
        <v>0</v>
      </c>
      <c r="H1370" s="355">
        <f>$G1370</f>
        <v>0</v>
      </c>
      <c r="I1370" s="355">
        <f>H1370+J1370-K1370</f>
        <v>0</v>
      </c>
      <c r="J1370" s="355"/>
      <c r="K1370" s="355"/>
      <c r="L1370" s="367"/>
      <c r="M1370" s="332"/>
      <c r="N1370" s="340"/>
      <c r="O1370" s="341"/>
    </row>
    <row r="1371" spans="1:15" ht="16.2">
      <c r="A1371" s="288"/>
      <c r="B1371" s="351" t="s">
        <v>624</v>
      </c>
      <c r="C1371" s="388" t="str">
        <f>IF(OR(I1371&lt;&gt;0,H1371&lt;&gt;0),"x"," ")</f>
        <v xml:space="preserve"> </v>
      </c>
      <c r="D1371" s="338"/>
      <c r="E1371" s="358" t="str">
        <f>VLOOKUP($B1371,DG!A:D,DG!$C$2,)</f>
        <v>Kẹp ép WR cỡ dây 50mm2</v>
      </c>
      <c r="F1371" s="594" t="s">
        <v>281</v>
      </c>
      <c r="G1371" s="595">
        <f>G1367</f>
        <v>0</v>
      </c>
      <c r="H1371" s="355">
        <f>$G1371</f>
        <v>0</v>
      </c>
      <c r="I1371" s="355">
        <f>H1371+J1371-K1371</f>
        <v>0</v>
      </c>
      <c r="J1371" s="355"/>
      <c r="K1371" s="355"/>
      <c r="L1371" s="367"/>
      <c r="M1371" s="332"/>
      <c r="N1371" s="340"/>
      <c r="O1371" s="341"/>
    </row>
    <row r="1372" spans="1:15" ht="16.2">
      <c r="A1372" s="288"/>
      <c r="B1372" s="411" t="s">
        <v>961</v>
      </c>
      <c r="C1372" s="388" t="str">
        <f>IF(OR(I1372&lt;&gt;0,H1372&lt;&gt;0),"x"," ")</f>
        <v>x</v>
      </c>
      <c r="D1372" s="338"/>
      <c r="E1372" s="412" t="s">
        <v>962</v>
      </c>
      <c r="F1372" s="593" t="s">
        <v>775</v>
      </c>
      <c r="G1372" s="349">
        <f>[3]pp1p!BR90</f>
        <v>0</v>
      </c>
      <c r="H1372" s="349">
        <f>IFERROR(HLOOKUP(B1372,'BKT-ThuHoi'!$5:$183,179,0),0)</f>
        <v>193</v>
      </c>
      <c r="I1372" s="350">
        <f>H1372+J1372-K1372</f>
        <v>193</v>
      </c>
      <c r="J1372" s="350"/>
      <c r="K1372" s="350"/>
      <c r="L1372" s="348"/>
      <c r="M1372" s="332"/>
      <c r="N1372" s="340"/>
      <c r="O1372" s="341"/>
    </row>
    <row r="1373" spans="1:15" ht="16.2">
      <c r="A1373" s="288"/>
      <c r="B1373" s="351" t="s">
        <v>963</v>
      </c>
      <c r="C1373" s="388" t="str">
        <f>IF(OR(I1373&lt;&gt;0,H1373&lt;&gt;0),"x"," ")</f>
        <v xml:space="preserve"> </v>
      </c>
      <c r="D1373" s="338"/>
      <c r="E1373" s="358" t="str">
        <f>VLOOKUP($B1373,DG!A:D,DG!$C$2,)</f>
        <v xml:space="preserve">Sứ đứng 24KV </v>
      </c>
      <c r="F1373" s="594" t="str">
        <f>VLOOKUP($B1373,DG!A:D,DG!$D$2,)</f>
        <v>cái</v>
      </c>
      <c r="G1373" s="595">
        <f>G1372</f>
        <v>0</v>
      </c>
      <c r="H1373" s="355">
        <f t="shared" si="67"/>
        <v>0</v>
      </c>
      <c r="I1373" s="355">
        <f>H1373+J1373-K1373</f>
        <v>0</v>
      </c>
      <c r="J1373" s="355"/>
      <c r="K1373" s="355"/>
      <c r="L1373" s="367"/>
      <c r="M1373" s="332"/>
      <c r="N1373" s="340"/>
      <c r="O1373" s="341"/>
    </row>
    <row r="1374" spans="1:15" ht="16.2">
      <c r="A1374" s="288"/>
      <c r="B1374" s="351" t="s">
        <v>964</v>
      </c>
      <c r="C1374" s="388" t="str">
        <f>IF(OR(I1374&lt;&gt;0,H1374&lt;&gt;0),"x"," ")</f>
        <v xml:space="preserve"> </v>
      </c>
      <c r="D1374" s="338"/>
      <c r="E1374" s="358" t="str">
        <f>VLOOKUP($B1374,DG!A:D,DG!$C$2,)</f>
        <v>Chân sứ đứng D20</v>
      </c>
      <c r="F1374" s="594" t="str">
        <f>VLOOKUP($B1374,DG!A:D,DG!$D$2,)</f>
        <v>cái</v>
      </c>
      <c r="G1374" s="595">
        <f>G1372</f>
        <v>0</v>
      </c>
      <c r="H1374" s="355">
        <f t="shared" si="67"/>
        <v>0</v>
      </c>
      <c r="I1374" s="355">
        <f>H1374+J1374-K1374</f>
        <v>0</v>
      </c>
      <c r="J1374" s="355"/>
      <c r="K1374" s="355"/>
      <c r="L1374" s="367"/>
      <c r="M1374" s="332"/>
      <c r="N1374" s="340"/>
      <c r="O1374" s="341"/>
    </row>
    <row r="1375" spans="1:15" ht="16.2">
      <c r="A1375" s="288"/>
      <c r="B1375" s="411" t="s">
        <v>965</v>
      </c>
      <c r="C1375" s="388" t="str">
        <f>IF(OR(I1375&lt;&gt;0,H1375&lt;&gt;0),"x"," ")</f>
        <v xml:space="preserve"> </v>
      </c>
      <c r="D1375" s="338"/>
      <c r="E1375" s="412" t="s">
        <v>966</v>
      </c>
      <c r="F1375" s="593" t="s">
        <v>775</v>
      </c>
      <c r="G1375" s="349">
        <f>[3]pp1p!BN90</f>
        <v>0</v>
      </c>
      <c r="H1375" s="349">
        <f>IFERROR(HLOOKUP(B1375,'BKT-ThuHoi'!$5:$183,179,0),0)</f>
        <v>0</v>
      </c>
      <c r="I1375" s="350">
        <f>H1375+J1375-K1375</f>
        <v>0</v>
      </c>
      <c r="J1375" s="350"/>
      <c r="K1375" s="350"/>
      <c r="L1375" s="348"/>
      <c r="M1375" s="332"/>
      <c r="N1375" s="340"/>
      <c r="O1375" s="341"/>
    </row>
    <row r="1376" spans="1:15" ht="16.2">
      <c r="A1376" s="288"/>
      <c r="B1376" s="351" t="s">
        <v>963</v>
      </c>
      <c r="C1376" s="388" t="str">
        <f>IF(OR(I1376&lt;&gt;0,H1376&lt;&gt;0),"x"," ")</f>
        <v xml:space="preserve"> </v>
      </c>
      <c r="D1376" s="338"/>
      <c r="E1376" s="358" t="str">
        <f>VLOOKUP($B1376,DG!A:D,DG!$C$2,)</f>
        <v xml:space="preserve">Sứ đứng 24KV </v>
      </c>
      <c r="F1376" s="594" t="str">
        <f>VLOOKUP($B1376,DG!A:D,DG!$D$2,)</f>
        <v>cái</v>
      </c>
      <c r="G1376" s="595">
        <f>G1375</f>
        <v>0</v>
      </c>
      <c r="H1376" s="355">
        <f t="shared" si="67"/>
        <v>0</v>
      </c>
      <c r="I1376" s="355">
        <f>H1376+J1376-K1376</f>
        <v>0</v>
      </c>
      <c r="J1376" s="355"/>
      <c r="K1376" s="355"/>
      <c r="L1376" s="367"/>
      <c r="M1376" s="332"/>
      <c r="N1376" s="340"/>
      <c r="O1376" s="341"/>
    </row>
    <row r="1377" spans="1:15" ht="16.2">
      <c r="A1377" s="288"/>
      <c r="B1377" s="351" t="s">
        <v>706</v>
      </c>
      <c r="C1377" s="388" t="str">
        <f>IF(OR(I1377&lt;&gt;0,H1377&lt;&gt;0),"x"," ")</f>
        <v xml:space="preserve"> </v>
      </c>
      <c r="D1377" s="338"/>
      <c r="E1377" s="358" t="str">
        <f>VLOOKUP($B1377,DG!A:D,DG!$C$2,)</f>
        <v>Chân sứ đỉnh thẳng dài 870mm</v>
      </c>
      <c r="F1377" s="594" t="str">
        <f>VLOOKUP($B1377,DG!A:D,DG!$D$2,)</f>
        <v>cái</v>
      </c>
      <c r="G1377" s="595">
        <f>G1375</f>
        <v>0</v>
      </c>
      <c r="H1377" s="355">
        <f t="shared" si="67"/>
        <v>0</v>
      </c>
      <c r="I1377" s="355">
        <f>H1377+J1377-K1377</f>
        <v>0</v>
      </c>
      <c r="J1377" s="355"/>
      <c r="K1377" s="355"/>
      <c r="L1377" s="367"/>
      <c r="M1377" s="332"/>
      <c r="N1377" s="340"/>
      <c r="O1377" s="341"/>
    </row>
    <row r="1378" spans="1:15" ht="16.2">
      <c r="A1378" s="288"/>
      <c r="B1378" s="351" t="s">
        <v>717</v>
      </c>
      <c r="C1378" s="388" t="str">
        <f>IF(OR(I1378&lt;&gt;0,H1378&lt;&gt;0),"x"," ")</f>
        <v xml:space="preserve"> </v>
      </c>
      <c r="D1378" s="338"/>
      <c r="E1378" s="358" t="str">
        <f>VLOOKUP($B1378,DG!A:D,DG!$C$2,)</f>
        <v>Boulon 16x300</v>
      </c>
      <c r="F1378" s="594" t="str">
        <f>VLOOKUP($B1378,DG!A:D,DG!$D$2,)</f>
        <v>bộ</v>
      </c>
      <c r="G1378" s="595">
        <f>G1375*2</f>
        <v>0</v>
      </c>
      <c r="H1378" s="355">
        <f t="shared" si="67"/>
        <v>0</v>
      </c>
      <c r="I1378" s="355">
        <f>H1378+J1378-K1378</f>
        <v>0</v>
      </c>
      <c r="J1378" s="355"/>
      <c r="K1378" s="355"/>
      <c r="L1378" s="367"/>
      <c r="M1378" s="332"/>
      <c r="N1378" s="340"/>
      <c r="O1378" s="341"/>
    </row>
    <row r="1379" spans="1:15" ht="16.2">
      <c r="A1379" s="361"/>
      <c r="B1379" s="415" t="s">
        <v>967</v>
      </c>
      <c r="C1379" s="388" t="str">
        <f>IF(OR(I1379&lt;&gt;0,H1379&lt;&gt;0),"x"," ")</f>
        <v xml:space="preserve"> </v>
      </c>
      <c r="D1379" s="363"/>
      <c r="E1379" s="412" t="s">
        <v>968</v>
      </c>
      <c r="F1379" s="593" t="s">
        <v>775</v>
      </c>
      <c r="G1379" s="349">
        <f>[3]pp1p!BO90</f>
        <v>0</v>
      </c>
      <c r="H1379" s="349">
        <f>IFERROR(HLOOKUP(B1379,'BKT-ThuHoi'!$5:$183,179,0),0)</f>
        <v>0</v>
      </c>
      <c r="I1379" s="350">
        <f>H1379+J1379-K1379</f>
        <v>0</v>
      </c>
      <c r="J1379" s="350"/>
      <c r="K1379" s="350"/>
      <c r="L1379" s="348"/>
      <c r="M1379" s="332"/>
      <c r="N1379" s="340"/>
      <c r="O1379" s="341"/>
    </row>
    <row r="1380" spans="1:15" ht="16.2">
      <c r="A1380" s="361"/>
      <c r="B1380" s="351" t="s">
        <v>963</v>
      </c>
      <c r="C1380" s="388" t="str">
        <f>IF(OR(I1380&lt;&gt;0,H1380&lt;&gt;0),"x"," ")</f>
        <v xml:space="preserve"> </v>
      </c>
      <c r="D1380" s="363"/>
      <c r="E1380" s="358" t="str">
        <f>VLOOKUP($B1380,DG!A:D,DG!$C$2,)</f>
        <v xml:space="preserve">Sứ đứng 24KV </v>
      </c>
      <c r="F1380" s="594" t="str">
        <f>VLOOKUP($B1380,DG!A:D,DG!$D$2,)</f>
        <v>cái</v>
      </c>
      <c r="G1380" s="595">
        <f>G1379*2</f>
        <v>0</v>
      </c>
      <c r="H1380" s="355">
        <f t="shared" si="67"/>
        <v>0</v>
      </c>
      <c r="I1380" s="355">
        <f>H1380+J1380-K1380</f>
        <v>0</v>
      </c>
      <c r="J1380" s="355"/>
      <c r="K1380" s="355"/>
      <c r="L1380" s="367"/>
      <c r="M1380" s="332"/>
      <c r="N1380" s="340"/>
      <c r="O1380" s="341"/>
    </row>
    <row r="1381" spans="1:15" ht="16.2">
      <c r="A1381" s="361"/>
      <c r="B1381" s="351" t="s">
        <v>969</v>
      </c>
      <c r="C1381" s="388" t="str">
        <f>IF(OR(I1381&lt;&gt;0,H1381&lt;&gt;0),"x"," ")</f>
        <v xml:space="preserve"> </v>
      </c>
      <c r="D1381" s="363"/>
      <c r="E1381" s="358" t="str">
        <f>VLOOKUP($B1381,DG!A:D,DG!$C$2,)</f>
        <v>Chân sứ đỉnh đỡ góc dài 870mm</v>
      </c>
      <c r="F1381" s="594" t="str">
        <f>VLOOKUP($B1381,DG!A:D,DG!$D$2,)</f>
        <v>cái</v>
      </c>
      <c r="G1381" s="595">
        <f>G1379*2</f>
        <v>0</v>
      </c>
      <c r="H1381" s="355">
        <f t="shared" si="67"/>
        <v>0</v>
      </c>
      <c r="I1381" s="355">
        <f>H1381+J1381-K1381</f>
        <v>0</v>
      </c>
      <c r="J1381" s="355"/>
      <c r="K1381" s="355"/>
      <c r="L1381" s="367"/>
      <c r="M1381" s="332"/>
      <c r="N1381" s="340"/>
      <c r="O1381" s="341"/>
    </row>
    <row r="1382" spans="1:15" ht="16.2">
      <c r="A1382" s="361"/>
      <c r="B1382" s="351" t="s">
        <v>717</v>
      </c>
      <c r="C1382" s="388" t="str">
        <f>IF(OR(I1382&lt;&gt;0,H1382&lt;&gt;0),"x"," ")</f>
        <v xml:space="preserve"> </v>
      </c>
      <c r="D1382" s="363"/>
      <c r="E1382" s="358" t="str">
        <f>VLOOKUP($B1382,DG!A:D,DG!$C$2,)</f>
        <v>Boulon 16x300</v>
      </c>
      <c r="F1382" s="594" t="str">
        <f>VLOOKUP($B1382,DG!A:D,DG!$D$2,)</f>
        <v>bộ</v>
      </c>
      <c r="G1382" s="595">
        <f>G1379*2</f>
        <v>0</v>
      </c>
      <c r="H1382" s="355">
        <f t="shared" si="67"/>
        <v>0</v>
      </c>
      <c r="I1382" s="355">
        <f>H1382+J1382-K1382</f>
        <v>0</v>
      </c>
      <c r="J1382" s="355"/>
      <c r="K1382" s="355"/>
      <c r="L1382" s="367"/>
      <c r="M1382" s="332"/>
      <c r="N1382" s="340"/>
      <c r="O1382" s="341"/>
    </row>
    <row r="1383" spans="1:15" ht="16.2">
      <c r="A1383" s="288"/>
      <c r="B1383" s="411" t="s">
        <v>970</v>
      </c>
      <c r="C1383" s="388" t="str">
        <f>IF(OR(I1383&lt;&gt;0,H1383&lt;&gt;0),"x"," ")</f>
        <v xml:space="preserve"> </v>
      </c>
      <c r="D1383" s="338"/>
      <c r="E1383" s="412" t="s">
        <v>971</v>
      </c>
      <c r="F1383" s="593" t="s">
        <v>972</v>
      </c>
      <c r="G1383" s="349">
        <f>[3]pp1p!BU90</f>
        <v>0</v>
      </c>
      <c r="H1383" s="349">
        <f>IFERROR(HLOOKUP(B1383,'BKT-ThuHoi'!$5:$183,179,0),0)</f>
        <v>0</v>
      </c>
      <c r="I1383" s="350">
        <f>H1383+J1383-K1383</f>
        <v>0</v>
      </c>
      <c r="J1383" s="350"/>
      <c r="K1383" s="350"/>
      <c r="L1383" s="348"/>
      <c r="M1383" s="332"/>
      <c r="N1383" s="340"/>
      <c r="O1383" s="341"/>
    </row>
    <row r="1384" spans="1:15" ht="16.2">
      <c r="A1384" s="288"/>
      <c r="B1384" s="351" t="s">
        <v>973</v>
      </c>
      <c r="C1384" s="388" t="str">
        <f>IF(OR(I1384&lt;&gt;0,H1384&lt;&gt;0),"x"," ")</f>
        <v xml:space="preserve"> </v>
      </c>
      <c r="D1384" s="338"/>
      <c r="E1384" s="358" t="str">
        <f>VLOOKUP($B1384,DG!A:D,DG!$C$2,)</f>
        <v>Sứ treo loại 70kN</v>
      </c>
      <c r="F1384" s="594" t="str">
        <f>VLOOKUP($B1384,DG!A:D,DG!$D$2,)</f>
        <v>bát</v>
      </c>
      <c r="G1384" s="595">
        <f>G1383*2</f>
        <v>0</v>
      </c>
      <c r="H1384" s="355">
        <f t="shared" si="67"/>
        <v>0</v>
      </c>
      <c r="I1384" s="355">
        <f>H1384+J1384-K1384</f>
        <v>0</v>
      </c>
      <c r="J1384" s="355"/>
      <c r="K1384" s="355"/>
      <c r="L1384" s="367"/>
      <c r="M1384" s="332"/>
      <c r="N1384" s="340"/>
      <c r="O1384" s="341"/>
    </row>
    <row r="1385" spans="1:15" ht="16.2">
      <c r="A1385" s="288"/>
      <c r="B1385" s="351" t="s">
        <v>958</v>
      </c>
      <c r="C1385" s="388" t="str">
        <f>IF(OR(I1385&lt;&gt;0,H1385&lt;&gt;0),"x"," ")</f>
        <v xml:space="preserve"> </v>
      </c>
      <c r="D1385" s="338"/>
      <c r="E1385" s="358" t="str">
        <f>VLOOKUP($B1385,DG!A:D,DG!$C$2,)</f>
        <v xml:space="preserve">Móc treo chữ U </v>
      </c>
      <c r="F1385" s="594" t="str">
        <f>VLOOKUP($B1385,DG!A:D,DG!$D$2,)</f>
        <v>cái</v>
      </c>
      <c r="G1385" s="595">
        <f>G1383*2</f>
        <v>0</v>
      </c>
      <c r="H1385" s="355">
        <f t="shared" si="67"/>
        <v>0</v>
      </c>
      <c r="I1385" s="355">
        <f>H1385+J1385-K1385</f>
        <v>0</v>
      </c>
      <c r="J1385" s="355"/>
      <c r="K1385" s="355"/>
      <c r="L1385" s="367"/>
      <c r="M1385" s="332"/>
      <c r="N1385" s="340"/>
      <c r="O1385" s="341"/>
    </row>
    <row r="1386" spans="1:15" ht="16.2">
      <c r="A1386" s="288"/>
      <c r="B1386" s="351" t="s">
        <v>974</v>
      </c>
      <c r="C1386" s="388" t="str">
        <f>IF(OR(I1386&lt;&gt;0,H1386&lt;&gt;0),"x"," ")</f>
        <v xml:space="preserve"> </v>
      </c>
      <c r="D1386" s="338"/>
      <c r="E1386" s="358" t="str">
        <f>VLOOKUP($B1386,DG!A:D,DG!$C$2,)</f>
        <v>Vòng treo đầu tròn</v>
      </c>
      <c r="F1386" s="594" t="str">
        <f>VLOOKUP($B1386,DG!A:D,DG!$D$2,)</f>
        <v>cái</v>
      </c>
      <c r="G1386" s="595">
        <f>G1383</f>
        <v>0</v>
      </c>
      <c r="H1386" s="355">
        <f t="shared" si="67"/>
        <v>0</v>
      </c>
      <c r="I1386" s="355">
        <f>H1386+J1386-K1386</f>
        <v>0</v>
      </c>
      <c r="J1386" s="355"/>
      <c r="K1386" s="355"/>
      <c r="L1386" s="367"/>
      <c r="M1386" s="332"/>
      <c r="N1386" s="340"/>
      <c r="O1386" s="341"/>
    </row>
    <row r="1387" spans="1:15" ht="16.2">
      <c r="A1387" s="288"/>
      <c r="B1387" s="351" t="s">
        <v>975</v>
      </c>
      <c r="C1387" s="388" t="str">
        <f>IF(OR(I1387&lt;&gt;0,H1387&lt;&gt;0),"x"," ")</f>
        <v xml:space="preserve"> </v>
      </c>
      <c r="D1387" s="338"/>
      <c r="E1387" s="358" t="str">
        <f>VLOOKUP($B1387,DG!A:D,DG!$C$2,)</f>
        <v>Mắt nối đơn</v>
      </c>
      <c r="F1387" s="594" t="str">
        <f>VLOOKUP($B1387,DG!A:D,DG!$D$2,)</f>
        <v>cái</v>
      </c>
      <c r="G1387" s="595">
        <f>G1383</f>
        <v>0</v>
      </c>
      <c r="H1387" s="355">
        <f t="shared" si="67"/>
        <v>0</v>
      </c>
      <c r="I1387" s="355">
        <f>H1387+J1387-K1387</f>
        <v>0</v>
      </c>
      <c r="J1387" s="355"/>
      <c r="K1387" s="355"/>
      <c r="L1387" s="367"/>
      <c r="M1387" s="332"/>
      <c r="N1387" s="340"/>
      <c r="O1387" s="341"/>
    </row>
    <row r="1388" spans="1:15" ht="16.2">
      <c r="A1388" s="288"/>
      <c r="B1388" s="351" t="s">
        <v>976</v>
      </c>
      <c r="C1388" s="388" t="str">
        <f>IF(OR(I1388&lt;&gt;0,H1388&lt;&gt;0),"x"," ")</f>
        <v xml:space="preserve"> </v>
      </c>
      <c r="D1388" s="338"/>
      <c r="E1388" s="358" t="str">
        <f>VLOOKUP($B1388,DG!A:D,DG!$C$2,)</f>
        <v>Boulon mắt 16x300</v>
      </c>
      <c r="F1388" s="594" t="str">
        <f>VLOOKUP($B1388,DG!A:D,DG!$D$2,)</f>
        <v>bộ</v>
      </c>
      <c r="G1388" s="595">
        <f>G1383</f>
        <v>0</v>
      </c>
      <c r="H1388" s="355">
        <f t="shared" si="67"/>
        <v>0</v>
      </c>
      <c r="I1388" s="355">
        <f>H1388+J1388-K1388</f>
        <v>0</v>
      </c>
      <c r="J1388" s="355"/>
      <c r="K1388" s="355"/>
      <c r="L1388" s="367"/>
      <c r="M1388" s="332"/>
      <c r="N1388" s="340"/>
      <c r="O1388" s="341"/>
    </row>
    <row r="1389" spans="1:15" ht="16.2">
      <c r="A1389" s="288"/>
      <c r="B1389" s="411" t="s">
        <v>1093</v>
      </c>
      <c r="C1389" s="388" t="str">
        <f>IF(OR(I1389&lt;&gt;0,H1389&lt;&gt;0),"x"," ")</f>
        <v xml:space="preserve"> </v>
      </c>
      <c r="D1389" s="338"/>
      <c r="E1389" s="412" t="s">
        <v>981</v>
      </c>
      <c r="F1389" s="593" t="s">
        <v>972</v>
      </c>
      <c r="G1389" s="349">
        <f>[3]pp1p!BS90</f>
        <v>0</v>
      </c>
      <c r="H1389" s="349">
        <f>IFERROR(HLOOKUP(B1389,'BKT-ThuHoi'!$5:$183,179,0),0)</f>
        <v>0</v>
      </c>
      <c r="I1389" s="350">
        <f>H1389+J1389-K1389</f>
        <v>0</v>
      </c>
      <c r="J1389" s="350"/>
      <c r="K1389" s="350"/>
      <c r="L1389" s="348"/>
      <c r="M1389" s="332"/>
      <c r="N1389" s="340"/>
      <c r="O1389" s="341"/>
    </row>
    <row r="1390" spans="1:15" ht="16.2">
      <c r="A1390" s="288"/>
      <c r="B1390" s="351" t="s">
        <v>982</v>
      </c>
      <c r="C1390" s="388" t="str">
        <f>IF(OR(I1390&lt;&gt;0,H1390&lt;&gt;0),"x"," ")</f>
        <v xml:space="preserve"> </v>
      </c>
      <c r="D1390" s="338"/>
      <c r="E1390" s="358" t="str">
        <f>VLOOKUP($B1390,DG!A:D,DG!$C$2,)</f>
        <v>Sứ treo polymer</v>
      </c>
      <c r="F1390" s="594" t="s">
        <v>972</v>
      </c>
      <c r="G1390" s="595">
        <f>G1389</f>
        <v>0</v>
      </c>
      <c r="H1390" s="355">
        <f>$G1390</f>
        <v>0</v>
      </c>
      <c r="I1390" s="355">
        <f>H1390+J1390-K1390</f>
        <v>0</v>
      </c>
      <c r="J1390" s="355"/>
      <c r="K1390" s="355"/>
      <c r="L1390" s="367"/>
      <c r="M1390" s="332"/>
      <c r="N1390" s="340"/>
      <c r="O1390" s="341"/>
    </row>
    <row r="1391" spans="1:15" ht="16.2">
      <c r="A1391" s="288"/>
      <c r="B1391" s="351" t="s">
        <v>958</v>
      </c>
      <c r="C1391" s="388" t="str">
        <f>IF(OR(I1391&lt;&gt;0,H1391&lt;&gt;0),"x"," ")</f>
        <v xml:space="preserve"> </v>
      </c>
      <c r="D1391" s="338"/>
      <c r="E1391" s="358" t="str">
        <f>VLOOKUP($B1391,DG!A:D,DG!$C$2,)</f>
        <v xml:space="preserve">Móc treo chữ U </v>
      </c>
      <c r="F1391" s="594" t="s">
        <v>281</v>
      </c>
      <c r="G1391" s="595">
        <f>G1389*2</f>
        <v>0</v>
      </c>
      <c r="H1391" s="355">
        <f>$G1391</f>
        <v>0</v>
      </c>
      <c r="I1391" s="355">
        <f>H1391+J1391-K1391</f>
        <v>0</v>
      </c>
      <c r="J1391" s="355"/>
      <c r="K1391" s="355"/>
      <c r="L1391" s="367"/>
      <c r="M1391" s="332"/>
      <c r="N1391" s="340"/>
      <c r="O1391" s="341"/>
    </row>
    <row r="1392" spans="1:15" ht="16.2">
      <c r="A1392" s="288"/>
      <c r="B1392" s="351" t="s">
        <v>1094</v>
      </c>
      <c r="C1392" s="388" t="str">
        <f>IF(OR(I1392&lt;&gt;0,H1392&lt;&gt;0),"x"," ")</f>
        <v xml:space="preserve"> </v>
      </c>
      <c r="D1392" s="338"/>
      <c r="E1392" s="358" t="str">
        <f>VLOOKUP($B1392,DG!A:D,DG!$C$2,)</f>
        <v>Khóa néo dây cỡ dây 185</v>
      </c>
      <c r="F1392" s="594" t="str">
        <f>VLOOKUP($B1392,DG!A:D,DG!$D$2,)</f>
        <v>cái</v>
      </c>
      <c r="G1392" s="595">
        <f>G1389</f>
        <v>0</v>
      </c>
      <c r="H1392" s="355">
        <f t="shared" si="67"/>
        <v>0</v>
      </c>
      <c r="I1392" s="355">
        <f>H1392+J1392-K1392</f>
        <v>0</v>
      </c>
      <c r="J1392" s="355"/>
      <c r="K1392" s="355"/>
      <c r="L1392" s="367"/>
      <c r="M1392" s="332"/>
      <c r="N1392" s="340"/>
      <c r="O1392" s="341"/>
    </row>
    <row r="1393" spans="1:15" ht="16.2">
      <c r="A1393" s="288"/>
      <c r="B1393" s="411" t="s">
        <v>1096</v>
      </c>
      <c r="C1393" s="388" t="str">
        <f>IF(OR(I1393&lt;&gt;0,H1393&lt;&gt;0),"x"," ")</f>
        <v xml:space="preserve"> </v>
      </c>
      <c r="D1393" s="338"/>
      <c r="E1393" s="412" t="s">
        <v>1149</v>
      </c>
      <c r="F1393" s="593" t="s">
        <v>972</v>
      </c>
      <c r="G1393" s="349">
        <f>[3]pp1p!BT90</f>
        <v>0</v>
      </c>
      <c r="H1393" s="349">
        <f>IFERROR(HLOOKUP(B1393,'BKT-ThuHoi'!$5:$183,179,0),0)</f>
        <v>0</v>
      </c>
      <c r="I1393" s="350">
        <f>H1393+J1393-K1393</f>
        <v>0</v>
      </c>
      <c r="J1393" s="350"/>
      <c r="K1393" s="350"/>
      <c r="L1393" s="348"/>
      <c r="M1393" s="332"/>
      <c r="N1393" s="340"/>
      <c r="O1393" s="341"/>
    </row>
    <row r="1394" spans="1:15" ht="16.2">
      <c r="A1394" s="288"/>
      <c r="B1394" s="351" t="s">
        <v>982</v>
      </c>
      <c r="C1394" s="388" t="str">
        <f>IF(OR(I1394&lt;&gt;0,H1394&lt;&gt;0),"x"," ")</f>
        <v xml:space="preserve"> </v>
      </c>
      <c r="D1394" s="338"/>
      <c r="E1394" s="358" t="str">
        <f>VLOOKUP($B1394,DG!A:D,DG!$C$2,)</f>
        <v>Sứ treo polymer</v>
      </c>
      <c r="F1394" s="594" t="s">
        <v>972</v>
      </c>
      <c r="G1394" s="595">
        <f>G1393</f>
        <v>0</v>
      </c>
      <c r="H1394" s="355">
        <f>$G1394</f>
        <v>0</v>
      </c>
      <c r="I1394" s="355">
        <f>H1394+J1394-K1394</f>
        <v>0</v>
      </c>
      <c r="J1394" s="355"/>
      <c r="K1394" s="355"/>
      <c r="L1394" s="367"/>
      <c r="M1394" s="332"/>
      <c r="N1394" s="340"/>
      <c r="O1394" s="341"/>
    </row>
    <row r="1395" spans="1:15" ht="16.2">
      <c r="A1395" s="288"/>
      <c r="B1395" s="351" t="s">
        <v>992</v>
      </c>
      <c r="C1395" s="388" t="str">
        <f>IF(OR(I1395&lt;&gt;0,H1395&lt;&gt;0),"x"," ")</f>
        <v xml:space="preserve"> </v>
      </c>
      <c r="D1395" s="338"/>
      <c r="E1395" s="358" t="str">
        <f>VLOOKUP($B1395,DG!A:D,DG!$C$2,)</f>
        <v>Khóa néo dây cỡ dây 185</v>
      </c>
      <c r="F1395" s="594" t="s">
        <v>972</v>
      </c>
      <c r="G1395" s="595">
        <f>G1394</f>
        <v>0</v>
      </c>
      <c r="H1395" s="355">
        <f>$G1395</f>
        <v>0</v>
      </c>
      <c r="I1395" s="355">
        <f>H1395+J1395-K1395</f>
        <v>0</v>
      </c>
      <c r="J1395" s="355"/>
      <c r="K1395" s="355"/>
      <c r="L1395" s="367"/>
      <c r="M1395" s="332"/>
      <c r="N1395" s="340"/>
      <c r="O1395" s="341"/>
    </row>
    <row r="1396" spans="1:15" ht="16.2">
      <c r="A1396" s="288"/>
      <c r="B1396" s="351" t="s">
        <v>958</v>
      </c>
      <c r="C1396" s="388" t="str">
        <f>IF(OR(I1396&lt;&gt;0,H1396&lt;&gt;0),"x"," ")</f>
        <v xml:space="preserve"> </v>
      </c>
      <c r="D1396" s="338"/>
      <c r="E1396" s="358" t="str">
        <f>VLOOKUP($B1396,DG!A:D,DG!$C$2,)</f>
        <v xml:space="preserve">Móc treo chữ U </v>
      </c>
      <c r="F1396" s="594" t="s">
        <v>281</v>
      </c>
      <c r="G1396" s="595">
        <f>G1395*2</f>
        <v>0</v>
      </c>
      <c r="H1396" s="355">
        <f>$G1396</f>
        <v>0</v>
      </c>
      <c r="I1396" s="355">
        <f>H1396+J1396-K1396</f>
        <v>0</v>
      </c>
      <c r="J1396" s="355"/>
      <c r="K1396" s="355"/>
      <c r="L1396" s="367"/>
      <c r="M1396" s="332"/>
      <c r="N1396" s="340"/>
      <c r="O1396" s="341"/>
    </row>
    <row r="1397" spans="1:15" ht="16.2">
      <c r="A1397" s="288"/>
      <c r="B1397" s="351" t="s">
        <v>1150</v>
      </c>
      <c r="C1397" s="388" t="str">
        <f>IF(OR(I1397&lt;&gt;0,H1397&lt;&gt;0),"x"," ")</f>
        <v xml:space="preserve"> </v>
      </c>
      <c r="D1397" s="338"/>
      <c r="E1397" s="358" t="str">
        <f>VLOOKUP($B1397,DG!A:D,DG!$C$2,)</f>
        <v>Kháng bắt sứ kép polymer</v>
      </c>
      <c r="F1397" s="594" t="s">
        <v>281</v>
      </c>
      <c r="G1397" s="595">
        <f>G1394*0</f>
        <v>0</v>
      </c>
      <c r="H1397" s="355">
        <f>$G1397</f>
        <v>0</v>
      </c>
      <c r="I1397" s="355">
        <f>H1397+J1397-K1397</f>
        <v>0</v>
      </c>
      <c r="J1397" s="355"/>
      <c r="K1397" s="355"/>
      <c r="L1397" s="367"/>
      <c r="M1397" s="332"/>
      <c r="N1397" s="340"/>
      <c r="O1397" s="341"/>
    </row>
    <row r="1398" spans="1:15" ht="16.2">
      <c r="A1398" s="288"/>
      <c r="B1398" s="351" t="s">
        <v>976</v>
      </c>
      <c r="C1398" s="388" t="str">
        <f>IF(OR(I1398&lt;&gt;0,H1398&lt;&gt;0),"x"," ")</f>
        <v xml:space="preserve"> </v>
      </c>
      <c r="D1398" s="338"/>
      <c r="E1398" s="358" t="str">
        <f>VLOOKUP($B1398,DG!A:D,DG!$C$2,)</f>
        <v>Boulon mắt 16x300</v>
      </c>
      <c r="F1398" s="594" t="str">
        <f>VLOOKUP($B1398,DG!A:D,DG!$D$2,)</f>
        <v>bộ</v>
      </c>
      <c r="G1398" s="595">
        <f>G1395</f>
        <v>0</v>
      </c>
      <c r="H1398" s="355">
        <f t="shared" si="67"/>
        <v>0</v>
      </c>
      <c r="I1398" s="355">
        <f>H1398+J1398-K1398</f>
        <v>0</v>
      </c>
      <c r="J1398" s="355"/>
      <c r="K1398" s="355"/>
      <c r="L1398" s="367"/>
      <c r="M1398" s="332"/>
      <c r="N1398" s="340"/>
      <c r="O1398" s="341"/>
    </row>
    <row r="1399" spans="1:15" ht="16.2">
      <c r="A1399" s="288"/>
      <c r="B1399" s="411" t="s">
        <v>977</v>
      </c>
      <c r="C1399" s="388" t="str">
        <f>IF(OR(I1399&lt;&gt;0,H1399&lt;&gt;0),"x"," ")</f>
        <v xml:space="preserve"> </v>
      </c>
      <c r="D1399" s="338"/>
      <c r="E1399" s="412" t="s">
        <v>1151</v>
      </c>
      <c r="F1399" s="593" t="s">
        <v>972</v>
      </c>
      <c r="G1399" s="349">
        <f>[3]pp1p!BV90</f>
        <v>0</v>
      </c>
      <c r="H1399" s="349">
        <f>IFERROR(HLOOKUP(B1399,'BKT-ThuHoi'!$5:$183,179,0),0)</f>
        <v>0</v>
      </c>
      <c r="I1399" s="350">
        <f>H1399+J1399-K1399</f>
        <v>0</v>
      </c>
      <c r="J1399" s="350"/>
      <c r="K1399" s="350"/>
      <c r="L1399" s="348"/>
      <c r="M1399" s="332"/>
      <c r="N1399" s="340"/>
      <c r="O1399" s="341"/>
    </row>
    <row r="1400" spans="1:15" ht="16.2">
      <c r="A1400" s="288"/>
      <c r="B1400" s="351" t="s">
        <v>979</v>
      </c>
      <c r="C1400" s="388" t="str">
        <f>IF(OR(I1400&lt;&gt;0,H1400&lt;&gt;0),"x"," ")</f>
        <v xml:space="preserve"> </v>
      </c>
      <c r="D1400" s="338"/>
      <c r="E1400" s="358" t="str">
        <f>VLOOKUP($B1400,DG!A:D,DG!$C$2,)</f>
        <v>Sứ treo loại 70kN</v>
      </c>
      <c r="F1400" s="594" t="str">
        <f>VLOOKUP($B1400,DG!A:D,DG!$D$2,)</f>
        <v>bát</v>
      </c>
      <c r="G1400" s="595">
        <f>G1399*2</f>
        <v>0</v>
      </c>
      <c r="H1400" s="355">
        <f t="shared" si="67"/>
        <v>0</v>
      </c>
      <c r="I1400" s="355">
        <f>H1400+J1400-K1400</f>
        <v>0</v>
      </c>
      <c r="J1400" s="355"/>
      <c r="K1400" s="355"/>
      <c r="L1400" s="367"/>
      <c r="M1400" s="332"/>
      <c r="N1400" s="340"/>
      <c r="O1400" s="341"/>
    </row>
    <row r="1401" spans="1:15" ht="16.2">
      <c r="A1401" s="288"/>
      <c r="B1401" s="351" t="s">
        <v>958</v>
      </c>
      <c r="C1401" s="388" t="str">
        <f>IF(OR(I1401&lt;&gt;0,H1401&lt;&gt;0),"x"," ")</f>
        <v xml:space="preserve"> </v>
      </c>
      <c r="D1401" s="338"/>
      <c r="E1401" s="358" t="str">
        <f>VLOOKUP($B1401,DG!A:D,DG!$C$2,)</f>
        <v xml:space="preserve">Móc treo chữ U </v>
      </c>
      <c r="F1401" s="594" t="str">
        <f>VLOOKUP($B1401,DG!A:D,DG!$D$2,)</f>
        <v>cái</v>
      </c>
      <c r="G1401" s="595">
        <f>G1399*2</f>
        <v>0</v>
      </c>
      <c r="H1401" s="355">
        <f t="shared" si="67"/>
        <v>0</v>
      </c>
      <c r="I1401" s="355">
        <f>H1401+J1401-K1401</f>
        <v>0</v>
      </c>
      <c r="J1401" s="355"/>
      <c r="K1401" s="355"/>
      <c r="L1401" s="367"/>
      <c r="M1401" s="332"/>
      <c r="N1401" s="340"/>
      <c r="O1401" s="341"/>
    </row>
    <row r="1402" spans="1:15" ht="16.2">
      <c r="A1402" s="288"/>
      <c r="B1402" s="351" t="s">
        <v>974</v>
      </c>
      <c r="C1402" s="388" t="str">
        <f>IF(OR(I1402&lt;&gt;0,H1402&lt;&gt;0),"x"," ")</f>
        <v xml:space="preserve"> </v>
      </c>
      <c r="D1402" s="338"/>
      <c r="E1402" s="358" t="str">
        <f>VLOOKUP($B1402,DG!A:D,DG!$C$2,)</f>
        <v>Vòng treo đầu tròn</v>
      </c>
      <c r="F1402" s="594" t="str">
        <f>VLOOKUP($B1402,DG!A:D,DG!$D$2,)</f>
        <v>cái</v>
      </c>
      <c r="G1402" s="595">
        <f>G1399</f>
        <v>0</v>
      </c>
      <c r="H1402" s="355">
        <f t="shared" si="67"/>
        <v>0</v>
      </c>
      <c r="I1402" s="355">
        <f>H1402+J1402-K1402</f>
        <v>0</v>
      </c>
      <c r="J1402" s="355"/>
      <c r="K1402" s="355"/>
      <c r="L1402" s="367"/>
      <c r="M1402" s="332"/>
      <c r="N1402" s="340"/>
      <c r="O1402" s="341"/>
    </row>
    <row r="1403" spans="1:15" ht="16.2">
      <c r="A1403" s="288"/>
      <c r="B1403" s="351" t="s">
        <v>975</v>
      </c>
      <c r="C1403" s="388" t="str">
        <f>IF(OR(I1403&lt;&gt;0,H1403&lt;&gt;0),"x"," ")</f>
        <v xml:space="preserve"> </v>
      </c>
      <c r="D1403" s="338"/>
      <c r="E1403" s="358" t="str">
        <f>VLOOKUP($B1403,DG!A:D,DG!$C$2,)</f>
        <v>Mắt nối đơn</v>
      </c>
      <c r="F1403" s="594" t="str">
        <f>VLOOKUP($B1403,DG!A:D,DG!$D$2,)</f>
        <v>cái</v>
      </c>
      <c r="G1403" s="595">
        <f>G1399</f>
        <v>0</v>
      </c>
      <c r="H1403" s="355">
        <f t="shared" si="67"/>
        <v>0</v>
      </c>
      <c r="I1403" s="355">
        <f>H1403+J1403-K1403</f>
        <v>0</v>
      </c>
      <c r="J1403" s="355"/>
      <c r="K1403" s="355"/>
      <c r="L1403" s="367"/>
      <c r="M1403" s="332"/>
      <c r="N1403" s="340"/>
      <c r="O1403" s="341"/>
    </row>
    <row r="1404" spans="1:15" ht="16.2">
      <c r="B1404" s="343">
        <v>0</v>
      </c>
      <c r="C1404" s="388" t="str">
        <f>IF(OR(G1404&gt;0),"x","")</f>
        <v/>
      </c>
      <c r="D1404" s="338"/>
      <c r="E1404" s="598" t="s">
        <v>1101</v>
      </c>
      <c r="F1404" s="594"/>
      <c r="G1404" s="595">
        <f>IF(SUM(G1405:G1449)&gt;0,1,0)</f>
        <v>0</v>
      </c>
      <c r="H1404" s="355"/>
      <c r="I1404" s="355">
        <f>H1404+J1404-K1404</f>
        <v>0</v>
      </c>
      <c r="J1404" s="355"/>
      <c r="K1404" s="355"/>
      <c r="L1404" s="367"/>
      <c r="M1404" s="340"/>
      <c r="N1404" s="340"/>
      <c r="O1404" s="341"/>
    </row>
    <row r="1405" spans="1:15" ht="16.2">
      <c r="A1405" s="288"/>
      <c r="B1405" s="417" t="s">
        <v>990</v>
      </c>
      <c r="C1405" s="388" t="str">
        <f>IF(OR(I1405&lt;&gt;0,H1405&lt;&gt;0),"x"," ")</f>
        <v xml:space="preserve"> </v>
      </c>
      <c r="D1405" s="338"/>
      <c r="E1405" s="358" t="str">
        <f>VLOOKUP($B1405,DG!A:D,DG!$C$2,)</f>
        <v>Khóa đỡ dây cỡ dây 50</v>
      </c>
      <c r="F1405" s="594" t="str">
        <f>VLOOKUP($B1405,DG!A:D,DG!$D$2,)</f>
        <v>cái</v>
      </c>
      <c r="G1405" s="595">
        <f>[3]pp1p!CT90</f>
        <v>0</v>
      </c>
      <c r="H1405" s="355">
        <f>G1405</f>
        <v>0</v>
      </c>
      <c r="I1405" s="355">
        <f>H1405+J1405-K1405</f>
        <v>0</v>
      </c>
      <c r="J1405" s="355"/>
      <c r="K1405" s="355"/>
      <c r="L1405" s="367"/>
      <c r="M1405" s="332"/>
      <c r="N1405" s="340"/>
      <c r="O1405" s="341"/>
    </row>
    <row r="1406" spans="1:15" ht="16.2">
      <c r="A1406" s="288"/>
      <c r="B1406" s="417" t="s">
        <v>997</v>
      </c>
      <c r="C1406" s="388" t="str">
        <f>IF(OR(I1406&lt;&gt;0,H1406&lt;&gt;0),"x"," ")</f>
        <v xml:space="preserve"> </v>
      </c>
      <c r="D1406" s="338"/>
      <c r="E1406" s="358" t="str">
        <f>VLOOKUP($B1406,DG!A:D,DG!$C$2,)</f>
        <v>Khóa néo dây cỡ dây 50</v>
      </c>
      <c r="F1406" s="594" t="str">
        <f>VLOOKUP($B1406,DG!A:D,DG!$D$2,)</f>
        <v>cái</v>
      </c>
      <c r="G1406" s="595">
        <f>(G1383+G1399)-G1405-G1407</f>
        <v>0</v>
      </c>
      <c r="H1406" s="355">
        <f>G1406</f>
        <v>0</v>
      </c>
      <c r="I1406" s="355">
        <f>H1406+J1406-K1406</f>
        <v>0</v>
      </c>
      <c r="J1406" s="355"/>
      <c r="K1406" s="355"/>
      <c r="L1406" s="367"/>
      <c r="M1406" s="332"/>
      <c r="N1406" s="340"/>
      <c r="O1406" s="341"/>
    </row>
    <row r="1407" spans="1:15" ht="16.2">
      <c r="A1407" s="288"/>
      <c r="B1407" s="421" t="s">
        <v>1152</v>
      </c>
      <c r="C1407" s="388" t="str">
        <f>IF(OR(I1407&lt;&gt;0,H1407&lt;&gt;0),"x"," ")</f>
        <v xml:space="preserve"> </v>
      </c>
      <c r="D1407" s="338"/>
      <c r="E1407" s="358" t="str">
        <f>VLOOKUP($B1407,DG!A:D,DG!$C$2,)</f>
        <v>Khóa néo dây cỡ dây 70</v>
      </c>
      <c r="F1407" s="594" t="str">
        <f>VLOOKUP($B1407,DG!A:D,DG!$D$2,)</f>
        <v>cái</v>
      </c>
      <c r="G1407" s="595"/>
      <c r="H1407" s="355">
        <f>G1407</f>
        <v>0</v>
      </c>
      <c r="I1407" s="355">
        <f>H1407+J1407-K1407</f>
        <v>0</v>
      </c>
      <c r="J1407" s="355"/>
      <c r="K1407" s="355"/>
      <c r="L1407" s="367"/>
      <c r="M1407" s="332"/>
      <c r="N1407" s="340"/>
      <c r="O1407" s="341"/>
    </row>
    <row r="1408" spans="1:15" ht="16.2">
      <c r="A1408" s="288"/>
      <c r="B1408" s="417" t="s">
        <v>1153</v>
      </c>
      <c r="C1408" s="388" t="str">
        <f>IF(OR(I1408&lt;&gt;0,H1408&lt;&gt;0),"x"," ")</f>
        <v xml:space="preserve"> </v>
      </c>
      <c r="D1408" s="338"/>
      <c r="E1408" s="358" t="str">
        <f>VLOOKUP($B1408,DG!A:D,DG!$C$2,)</f>
        <v>Kẹp ép WR cỡ dây 50mm2</v>
      </c>
      <c r="F1408" s="594" t="str">
        <f>VLOOKUP($B1408,DG!A:D,DG!$D$2,)</f>
        <v>cái</v>
      </c>
      <c r="G1408" s="595">
        <f>[3]pp1p!CA90</f>
        <v>0</v>
      </c>
      <c r="H1408" s="355">
        <f t="shared" ref="H1408:H1432" si="68">G1408</f>
        <v>0</v>
      </c>
      <c r="I1408" s="355">
        <f>H1408+J1408-K1408</f>
        <v>0</v>
      </c>
      <c r="J1408" s="355"/>
      <c r="K1408" s="355"/>
      <c r="L1408" s="367"/>
      <c r="M1408" s="332"/>
      <c r="N1408" s="340"/>
      <c r="O1408" s="341"/>
    </row>
    <row r="1409" spans="1:15" ht="16.2">
      <c r="A1409" s="288"/>
      <c r="B1409" s="417" t="s">
        <v>1105</v>
      </c>
      <c r="C1409" s="388" t="str">
        <f>IF(OR(I1409&lt;&gt;0,H1409&lt;&gt;0),"x"," ")</f>
        <v xml:space="preserve"> </v>
      </c>
      <c r="D1409" s="338"/>
      <c r="E1409" s="358" t="str">
        <f>VLOOKUP($B1409,DG!A:D,DG!$C$2,)</f>
        <v>Kẹp ép WR cỡ dây 70mm2</v>
      </c>
      <c r="F1409" s="594" t="str">
        <f>VLOOKUP($B1409,DG!A:D,DG!$D$2,)</f>
        <v>cái</v>
      </c>
      <c r="G1409" s="595">
        <f>[3]pp1p!CB90</f>
        <v>0</v>
      </c>
      <c r="H1409" s="355">
        <f t="shared" si="68"/>
        <v>0</v>
      </c>
      <c r="I1409" s="355">
        <f>H1409+J1409-K1409</f>
        <v>0</v>
      </c>
      <c r="J1409" s="355"/>
      <c r="K1409" s="355"/>
      <c r="L1409" s="367"/>
      <c r="M1409" s="332"/>
      <c r="N1409" s="340"/>
      <c r="O1409" s="341"/>
    </row>
    <row r="1410" spans="1:15" ht="16.2">
      <c r="A1410" s="288"/>
      <c r="B1410" s="417" t="s">
        <v>1003</v>
      </c>
      <c r="C1410" s="388" t="str">
        <f>IF(OR(I1410&lt;&gt;0,H1410&lt;&gt;0),"x"," ")</f>
        <v xml:space="preserve"> </v>
      </c>
      <c r="D1410" s="338"/>
      <c r="E1410" s="358" t="str">
        <f>VLOOKUP($B1410,DG!A:D,DG!$C$2,)</f>
        <v>Kẹp ép WR cỡ dây 95mm2</v>
      </c>
      <c r="F1410" s="594" t="str">
        <f>VLOOKUP($B1410,DG!A:D,DG!$D$2,)</f>
        <v>cái</v>
      </c>
      <c r="G1410" s="595">
        <f>[3]pp1p!CC90</f>
        <v>0</v>
      </c>
      <c r="H1410" s="355">
        <f t="shared" si="68"/>
        <v>0</v>
      </c>
      <c r="I1410" s="355">
        <f>H1410+J1410-K1410</f>
        <v>0</v>
      </c>
      <c r="J1410" s="355"/>
      <c r="K1410" s="355"/>
      <c r="L1410" s="367"/>
      <c r="M1410" s="332"/>
      <c r="N1410" s="340"/>
      <c r="O1410" s="341"/>
    </row>
    <row r="1411" spans="1:15" ht="16.2">
      <c r="A1411" s="288"/>
      <c r="B1411" s="417" t="s">
        <v>1072</v>
      </c>
      <c r="C1411" s="388" t="str">
        <f>IF(OR(I1411&lt;&gt;0,H1411&lt;&gt;0),"x"," ")</f>
        <v xml:space="preserve"> </v>
      </c>
      <c r="D1411" s="338"/>
      <c r="E1411" s="358" t="str">
        <f>VLOOKUP($B1411,DG!A:D,DG!$C$2,)</f>
        <v>Kẹp ép WR cỡ dây 120mm2</v>
      </c>
      <c r="F1411" s="594" t="str">
        <f>VLOOKUP($B1411,DG!A:D,DG!$D$2,)</f>
        <v>cái</v>
      </c>
      <c r="G1411" s="595">
        <f>[3]pp1p!CD90</f>
        <v>0</v>
      </c>
      <c r="H1411" s="355">
        <f t="shared" si="68"/>
        <v>0</v>
      </c>
      <c r="I1411" s="355">
        <f>H1411+J1411-K1411</f>
        <v>0</v>
      </c>
      <c r="J1411" s="355"/>
      <c r="K1411" s="355"/>
      <c r="L1411" s="367"/>
      <c r="M1411" s="332"/>
      <c r="N1411" s="340"/>
      <c r="O1411" s="341"/>
    </row>
    <row r="1412" spans="1:15" ht="16.2">
      <c r="A1412" s="288"/>
      <c r="B1412" s="417" t="s">
        <v>1106</v>
      </c>
      <c r="C1412" s="388" t="str">
        <f>IF(OR(I1412&lt;&gt;0,H1412&lt;&gt;0),"x"," ")</f>
        <v xml:space="preserve"> </v>
      </c>
      <c r="D1412" s="338"/>
      <c r="E1412" s="358" t="str">
        <f>VLOOKUP($B1412,DG!A:D,DG!$C$2,)</f>
        <v>Kẹp ép WR cỡ dây 150mm2</v>
      </c>
      <c r="F1412" s="594" t="str">
        <f>VLOOKUP($B1412,DG!A:D,DG!$D$2,)</f>
        <v>cái</v>
      </c>
      <c r="G1412" s="595">
        <f>[3]pp1p!CE90</f>
        <v>0</v>
      </c>
      <c r="H1412" s="355">
        <f t="shared" si="68"/>
        <v>0</v>
      </c>
      <c r="I1412" s="355">
        <f>H1412+J1412-K1412</f>
        <v>0</v>
      </c>
      <c r="J1412" s="355"/>
      <c r="K1412" s="355"/>
      <c r="L1412" s="367"/>
      <c r="M1412" s="332"/>
      <c r="N1412" s="340"/>
      <c r="O1412" s="341"/>
    </row>
    <row r="1413" spans="1:15" ht="16.2">
      <c r="A1413" s="288"/>
      <c r="B1413" s="417" t="s">
        <v>1005</v>
      </c>
      <c r="C1413" s="388" t="str">
        <f>IF(OR(I1413&lt;&gt;0,H1413&lt;&gt;0),"x"," ")</f>
        <v xml:space="preserve"> </v>
      </c>
      <c r="D1413" s="338"/>
      <c r="E1413" s="358" t="str">
        <f>VLOOKUP($B1413,DG!A:D,DG!$C$2,)</f>
        <v>Kẹp ép WR cỡ dây 185mm2</v>
      </c>
      <c r="F1413" s="594" t="str">
        <f>VLOOKUP($B1413,DG!A:D,DG!$D$2,)</f>
        <v>cái</v>
      </c>
      <c r="G1413" s="595">
        <f>[3]pp1p!CF90</f>
        <v>0</v>
      </c>
      <c r="H1413" s="355">
        <f t="shared" si="68"/>
        <v>0</v>
      </c>
      <c r="I1413" s="355">
        <f>H1413+J1413-K1413</f>
        <v>0</v>
      </c>
      <c r="J1413" s="355"/>
      <c r="K1413" s="355"/>
      <c r="L1413" s="367"/>
      <c r="M1413" s="332"/>
      <c r="N1413" s="340"/>
      <c r="O1413" s="341"/>
    </row>
    <row r="1414" spans="1:15" ht="16.2">
      <c r="A1414" s="288"/>
      <c r="B1414" s="417" t="s">
        <v>1073</v>
      </c>
      <c r="C1414" s="388" t="str">
        <f>IF(OR(I1414&lt;&gt;0,H1414&lt;&gt;0),"x"," ")</f>
        <v xml:space="preserve"> </v>
      </c>
      <c r="D1414" s="338"/>
      <c r="E1414" s="358" t="str">
        <f>VLOOKUP($B1414,DG!A:D,DG!$C$2,)</f>
        <v>Kẹp ép WR cỡ dây 240mm2</v>
      </c>
      <c r="F1414" s="594" t="str">
        <f>VLOOKUP($B1414,DG!A:D,DG!$D$2,)</f>
        <v>cái</v>
      </c>
      <c r="G1414" s="595">
        <f>[3]pp1p!CG90</f>
        <v>0</v>
      </c>
      <c r="H1414" s="355">
        <f t="shared" si="68"/>
        <v>0</v>
      </c>
      <c r="I1414" s="355">
        <f>H1414+J1414-K1414</f>
        <v>0</v>
      </c>
      <c r="J1414" s="355"/>
      <c r="K1414" s="355"/>
      <c r="L1414" s="367"/>
      <c r="M1414" s="332"/>
      <c r="N1414" s="340"/>
      <c r="O1414" s="341"/>
    </row>
    <row r="1415" spans="1:15" ht="16.2">
      <c r="A1415" s="288"/>
      <c r="B1415" s="417" t="s">
        <v>1007</v>
      </c>
      <c r="C1415" s="388" t="str">
        <f>IF(OR(I1415&lt;&gt;0,H1415&lt;&gt;0),"x"," ")</f>
        <v xml:space="preserve"> </v>
      </c>
      <c r="D1415" s="338" t="str">
        <f>VLOOKUP($B1415,DG!A:D,DG!$B$2,)</f>
        <v>03.4003</v>
      </c>
      <c r="E1415" s="358" t="str">
        <f>VLOOKUP($B1415,DG!A:D,DG!$C$2,)</f>
        <v>Đầu cosse ép Cu-Al 70mm2</v>
      </c>
      <c r="F1415" s="594" t="str">
        <f>VLOOKUP($B1415,DG!A:D,DG!$D$2,)</f>
        <v>cái</v>
      </c>
      <c r="G1415" s="595">
        <f>[3]pp1p!CH90</f>
        <v>0</v>
      </c>
      <c r="H1415" s="355">
        <f t="shared" si="68"/>
        <v>0</v>
      </c>
      <c r="I1415" s="355">
        <f>H1415+J1415-K1415</f>
        <v>0</v>
      </c>
      <c r="J1415" s="355"/>
      <c r="K1415" s="355"/>
      <c r="L1415" s="367"/>
      <c r="M1415" s="332"/>
      <c r="N1415" s="340"/>
      <c r="O1415" s="341"/>
    </row>
    <row r="1416" spans="1:15" ht="16.2">
      <c r="A1416" s="288"/>
      <c r="B1416" s="417" t="s">
        <v>1008</v>
      </c>
      <c r="C1416" s="388" t="str">
        <f>IF(OR(I1416&lt;&gt;0,H1416&lt;&gt;0),"x"," ")</f>
        <v xml:space="preserve"> </v>
      </c>
      <c r="D1416" s="338" t="str">
        <f>VLOOKUP($B1416,DG!A:D,DG!$B$2,)</f>
        <v>03.4004</v>
      </c>
      <c r="E1416" s="358" t="str">
        <f>VLOOKUP($B1416,DG!A:D,DG!$C$2,)</f>
        <v>Đầu cosse ép Cu-Al 95mm2</v>
      </c>
      <c r="F1416" s="594" t="str">
        <f>VLOOKUP($B1416,DG!A:D,DG!$D$2,)</f>
        <v>cái</v>
      </c>
      <c r="G1416" s="595">
        <f>[3]pp1p!CI90</f>
        <v>0</v>
      </c>
      <c r="H1416" s="355">
        <f t="shared" si="68"/>
        <v>0</v>
      </c>
      <c r="I1416" s="355">
        <f>H1416+J1416-K1416</f>
        <v>0</v>
      </c>
      <c r="J1416" s="355"/>
      <c r="K1416" s="355"/>
      <c r="L1416" s="367"/>
      <c r="M1416" s="332"/>
      <c r="N1416" s="340"/>
      <c r="O1416" s="341"/>
    </row>
    <row r="1417" spans="1:15" ht="16.2">
      <c r="A1417" s="288"/>
      <c r="B1417" s="417" t="s">
        <v>1009</v>
      </c>
      <c r="C1417" s="388" t="str">
        <f>IF(OR(I1417&lt;&gt;0,H1417&lt;&gt;0),"x"," ")</f>
        <v xml:space="preserve"> </v>
      </c>
      <c r="D1417" s="338" t="str">
        <f>VLOOKUP($B1417,DG!A:D,DG!$B$2,)</f>
        <v>03.4005</v>
      </c>
      <c r="E1417" s="358" t="str">
        <f>VLOOKUP($B1417,DG!A:D,DG!$C$2,)</f>
        <v>Đầu cosse ép Cu-Al 120mm2</v>
      </c>
      <c r="F1417" s="594" t="str">
        <f>VLOOKUP($B1417,DG!A:D,DG!$D$2,)</f>
        <v>cái</v>
      </c>
      <c r="G1417" s="595">
        <f>[3]pp1p!CJ90</f>
        <v>0</v>
      </c>
      <c r="H1417" s="355">
        <f t="shared" si="68"/>
        <v>0</v>
      </c>
      <c r="I1417" s="355">
        <f>H1417+J1417-K1417</f>
        <v>0</v>
      </c>
      <c r="J1417" s="355"/>
      <c r="K1417" s="355"/>
      <c r="L1417" s="367"/>
      <c r="M1417" s="332"/>
      <c r="N1417" s="340"/>
      <c r="O1417" s="341"/>
    </row>
    <row r="1418" spans="1:15" ht="16.2">
      <c r="A1418" s="288"/>
      <c r="B1418" s="417" t="s">
        <v>1010</v>
      </c>
      <c r="C1418" s="388" t="str">
        <f>IF(OR(I1418&lt;&gt;0,H1418&lt;&gt;0),"x"," ")</f>
        <v xml:space="preserve"> </v>
      </c>
      <c r="D1418" s="338" t="str">
        <f>VLOOKUP($B1418,DG!A:D,DG!$B$2,)</f>
        <v>03.4006</v>
      </c>
      <c r="E1418" s="358" t="str">
        <f>VLOOKUP($B1418,DG!A:D,DG!$C$2,)</f>
        <v>Đầu cosse ép Cu-Al 150mm2</v>
      </c>
      <c r="F1418" s="594" t="str">
        <f>VLOOKUP($B1418,DG!A:D,DG!$D$2,)</f>
        <v>cái</v>
      </c>
      <c r="G1418" s="595">
        <f>[3]pp1p!CK90</f>
        <v>0</v>
      </c>
      <c r="H1418" s="355">
        <f t="shared" si="68"/>
        <v>0</v>
      </c>
      <c r="I1418" s="355">
        <f>H1418+J1418-K1418</f>
        <v>0</v>
      </c>
      <c r="J1418" s="355"/>
      <c r="K1418" s="355"/>
      <c r="L1418" s="367"/>
      <c r="M1418" s="332"/>
      <c r="N1418" s="340"/>
      <c r="O1418" s="341"/>
    </row>
    <row r="1419" spans="1:15" ht="16.2">
      <c r="A1419" s="288"/>
      <c r="B1419" s="417" t="s">
        <v>1011</v>
      </c>
      <c r="C1419" s="388" t="str">
        <f>IF(OR(I1419&lt;&gt;0,H1419&lt;&gt;0),"x"," ")</f>
        <v xml:space="preserve"> </v>
      </c>
      <c r="D1419" s="338" t="str">
        <f>VLOOKUP($B1419,DG!A:D,DG!$B$2,)</f>
        <v>03.4007</v>
      </c>
      <c r="E1419" s="358" t="str">
        <f>VLOOKUP($B1419,DG!A:D,DG!$C$2,)</f>
        <v>Đầu cosse ép Cu-Al 185mm2</v>
      </c>
      <c r="F1419" s="594" t="str">
        <f>VLOOKUP($B1419,DG!A:D,DG!$D$2,)</f>
        <v>cái</v>
      </c>
      <c r="G1419" s="595">
        <f>[3]pp1p!CL90</f>
        <v>0</v>
      </c>
      <c r="H1419" s="355">
        <f t="shared" si="68"/>
        <v>0</v>
      </c>
      <c r="I1419" s="355">
        <f>H1419+J1419-K1419</f>
        <v>0</v>
      </c>
      <c r="J1419" s="355"/>
      <c r="K1419" s="355"/>
      <c r="L1419" s="367"/>
      <c r="M1419" s="332"/>
      <c r="N1419" s="340"/>
      <c r="O1419" s="341"/>
    </row>
    <row r="1420" spans="1:15" ht="16.2">
      <c r="A1420" s="288"/>
      <c r="B1420" s="417" t="s">
        <v>1012</v>
      </c>
      <c r="C1420" s="388" t="str">
        <f>IF(OR(I1420&lt;&gt;0,H1420&lt;&gt;0),"x"," ")</f>
        <v xml:space="preserve"> </v>
      </c>
      <c r="D1420" s="338" t="str">
        <f>VLOOKUP($B1420,DG!A:D,DG!$B$2,)</f>
        <v>03.4008</v>
      </c>
      <c r="E1420" s="358" t="str">
        <f>VLOOKUP($B1420,DG!A:D,DG!$C$2,)</f>
        <v>Đầu cosse ép Cu-Al 240mm2</v>
      </c>
      <c r="F1420" s="594" t="str">
        <f>VLOOKUP($B1420,DG!A:D,DG!$D$2,)</f>
        <v>cái</v>
      </c>
      <c r="G1420" s="595">
        <f>[3]pp1p!CM90</f>
        <v>0</v>
      </c>
      <c r="H1420" s="355">
        <f t="shared" si="68"/>
        <v>0</v>
      </c>
      <c r="I1420" s="355">
        <f>H1420+J1420-K1420</f>
        <v>0</v>
      </c>
      <c r="J1420" s="355"/>
      <c r="K1420" s="355"/>
      <c r="L1420" s="367"/>
      <c r="M1420" s="332"/>
      <c r="N1420" s="340"/>
      <c r="O1420" s="341"/>
    </row>
    <row r="1421" spans="1:15" ht="16.2">
      <c r="A1421" s="288"/>
      <c r="B1421" s="417" t="s">
        <v>1013</v>
      </c>
      <c r="C1421" s="388" t="str">
        <f>IF(OR(I1421&lt;&gt;0,H1421&lt;&gt;0),"x"," ")</f>
        <v xml:space="preserve"> </v>
      </c>
      <c r="D1421" s="338">
        <f>VLOOKUP($B1421,DG!A:D,DG!$B$2,)</f>
        <v>0</v>
      </c>
      <c r="E1421" s="358" t="str">
        <f>VLOOKUP($B1421,DG!A:D,DG!$C$2,)</f>
        <v>Boulon 12x30</v>
      </c>
      <c r="F1421" s="594" t="str">
        <f>VLOOKUP($B1421,DG!A:D,DG!$D$2,)</f>
        <v>bộ</v>
      </c>
      <c r="G1421" s="595">
        <f>SUM(G1415:G1420)/2</f>
        <v>0</v>
      </c>
      <c r="H1421" s="355">
        <f t="shared" si="68"/>
        <v>0</v>
      </c>
      <c r="I1421" s="355">
        <f>H1421+J1421-K1421</f>
        <v>0</v>
      </c>
      <c r="J1421" s="355"/>
      <c r="K1421" s="355"/>
      <c r="L1421" s="367"/>
      <c r="M1421" s="332"/>
      <c r="N1421" s="340"/>
      <c r="O1421" s="341"/>
    </row>
    <row r="1422" spans="1:15" ht="16.2">
      <c r="A1422" s="288"/>
      <c r="B1422" s="417" t="s">
        <v>1001</v>
      </c>
      <c r="C1422" s="388" t="str">
        <f>IF(OR(I1422&lt;&gt;0,H1422&lt;&gt;0),"x"," ")</f>
        <v xml:space="preserve"> </v>
      </c>
      <c r="D1422" s="338" t="str">
        <f>VLOOKUP($B1422,DG!A:D,DG!$B$2,)</f>
        <v>04.3007</v>
      </c>
      <c r="E1422" s="358" t="str">
        <f>VLOOKUP($B1422,DG!A:D,DG!$C$2,)</f>
        <v>Kẹp quai 2/0</v>
      </c>
      <c r="F1422" s="594" t="str">
        <f>VLOOKUP($B1422,DG!A:D,DG!$D$2,)</f>
        <v>cái</v>
      </c>
      <c r="G1422" s="595">
        <f>[3]pp1p!BZ90</f>
        <v>0</v>
      </c>
      <c r="H1422" s="355">
        <f t="shared" si="68"/>
        <v>0</v>
      </c>
      <c r="I1422" s="355">
        <f>H1422+J1422-K1422</f>
        <v>0</v>
      </c>
      <c r="J1422" s="355"/>
      <c r="K1422" s="355"/>
      <c r="L1422" s="367"/>
      <c r="M1422" s="332"/>
      <c r="N1422" s="340"/>
      <c r="O1422" s="341"/>
    </row>
    <row r="1423" spans="1:15" ht="16.2">
      <c r="A1423" s="288"/>
      <c r="B1423" s="417" t="s">
        <v>1002</v>
      </c>
      <c r="C1423" s="388" t="str">
        <f>IF(OR(I1423&lt;&gt;0,H1423&lt;&gt;0),"x"," ")</f>
        <v xml:space="preserve"> </v>
      </c>
      <c r="D1423" s="338" t="str">
        <f>VLOOKUP($B1423,DG!A:D,DG!$B$2,)</f>
        <v>04.3007</v>
      </c>
      <c r="E1423" s="358" t="str">
        <f>VLOOKUP($B1423,DG!A:D,DG!$C$2,)</f>
        <v>Kẹp hotline 2/0</v>
      </c>
      <c r="F1423" s="594" t="str">
        <f>VLOOKUP($B1423,DG!A:D,DG!$D$2,)</f>
        <v>cái</v>
      </c>
      <c r="G1423" s="595">
        <f>[3]pp1p!BZ91</f>
        <v>0</v>
      </c>
      <c r="H1423" s="355">
        <f>G1423</f>
        <v>0</v>
      </c>
      <c r="I1423" s="355">
        <f>H1423+J1423-K1423</f>
        <v>0</v>
      </c>
      <c r="J1423" s="355"/>
      <c r="K1423" s="355"/>
      <c r="L1423" s="367"/>
      <c r="M1423" s="332"/>
      <c r="N1423" s="340"/>
      <c r="O1423" s="341"/>
    </row>
    <row r="1424" spans="1:15" ht="16.2">
      <c r="A1424" s="288"/>
      <c r="B1424" s="417" t="s">
        <v>1154</v>
      </c>
      <c r="C1424" s="388" t="str">
        <f>IF(OR(I1424&lt;&gt;0,H1424&lt;&gt;0),"x"," ")</f>
        <v xml:space="preserve"> </v>
      </c>
      <c r="D1424" s="338">
        <f>VLOOKUP($B1424,DG!A:D,DG!$B$2,)</f>
        <v>0</v>
      </c>
      <c r="E1424" s="358" t="str">
        <f>VLOOKUP($B1424,DG!A:D,DG!$C$2,)</f>
        <v>Chụp cách điện kẹp quai</v>
      </c>
      <c r="F1424" s="594" t="str">
        <f>VLOOKUP($B1424,DG!A:D,DG!$D$2,)</f>
        <v>cái</v>
      </c>
      <c r="G1424" s="595">
        <f>G1422</f>
        <v>0</v>
      </c>
      <c r="H1424" s="355">
        <f t="shared" si="68"/>
        <v>0</v>
      </c>
      <c r="I1424" s="355">
        <f>H1424+J1424-K1424</f>
        <v>0</v>
      </c>
      <c r="J1424" s="355"/>
      <c r="K1424" s="355"/>
      <c r="L1424" s="367"/>
      <c r="M1424" s="332"/>
      <c r="N1424" s="340"/>
      <c r="O1424" s="341"/>
    </row>
    <row r="1425" spans="1:15" ht="16.2">
      <c r="B1425" s="419" t="s">
        <v>1114</v>
      </c>
      <c r="C1425" s="388" t="str">
        <f>IF(OR(I1425&lt;&gt;0,H1425&lt;&gt;0),"x"," ")</f>
        <v xml:space="preserve"> </v>
      </c>
      <c r="D1425" s="338"/>
      <c r="E1425" s="358" t="str">
        <f>VLOOKUP($B1425,DG!A:D,DG!$C$2,)</f>
        <v>Cáp 24KV C/XLPE/PVC 25mm2</v>
      </c>
      <c r="F1425" s="594" t="str">
        <f>VLOOKUP($B1425,DG!A:D,DG!$D$2,)</f>
        <v>mét</v>
      </c>
      <c r="G1425" s="595">
        <f>[3]pp1p!CP90*3</f>
        <v>0</v>
      </c>
      <c r="H1425" s="355">
        <f t="shared" si="68"/>
        <v>0</v>
      </c>
      <c r="I1425" s="355">
        <f>H1425+J1425-K1425</f>
        <v>0</v>
      </c>
      <c r="J1425" s="355"/>
      <c r="K1425" s="355"/>
      <c r="L1425" s="367"/>
      <c r="M1425" s="340"/>
      <c r="N1425" s="340"/>
      <c r="O1425" s="341"/>
    </row>
    <row r="1426" spans="1:15" ht="16.2">
      <c r="A1426" s="288"/>
      <c r="B1426" s="417" t="s">
        <v>1155</v>
      </c>
      <c r="C1426" s="388" t="str">
        <f>IF(OR(I1426&lt;&gt;0,H1426&lt;&gt;0),"x"," ")</f>
        <v xml:space="preserve"> </v>
      </c>
      <c r="D1426" s="338"/>
      <c r="E1426" s="358" t="str">
        <f>VLOOKUP($B1426,DG!A:D,DG!$C$2,)</f>
        <v>Cáp thép 3/8"</v>
      </c>
      <c r="F1426" s="594" t="str">
        <f>VLOOKUP($B1426,DG!A:D,DG!$D$2,)</f>
        <v>kg</v>
      </c>
      <c r="G1426" s="595">
        <f>[3]pp1p!AV90</f>
        <v>0</v>
      </c>
      <c r="H1426" s="355">
        <f t="shared" si="68"/>
        <v>0</v>
      </c>
      <c r="I1426" s="355">
        <f>H1426+J1426-K1426</f>
        <v>0</v>
      </c>
      <c r="J1426" s="355"/>
      <c r="K1426" s="355"/>
      <c r="L1426" s="367"/>
      <c r="M1426" s="332"/>
      <c r="N1426" s="340"/>
      <c r="O1426" s="341"/>
    </row>
    <row r="1427" spans="1:15" ht="16.2">
      <c r="A1427" s="288"/>
      <c r="B1427" s="417" t="s">
        <v>1156</v>
      </c>
      <c r="C1427" s="388" t="str">
        <f>IF(OR(I1427&lt;&gt;0,H1427&lt;&gt;0),"x"," ")</f>
        <v xml:space="preserve"> </v>
      </c>
      <c r="D1427" s="338"/>
      <c r="E1427" s="358" t="str">
        <f>VLOOKUP($B1427,DG!A:D,DG!$C$2,)</f>
        <v>Biển báo độ cao</v>
      </c>
      <c r="F1427" s="594" t="str">
        <f>VLOOKUP($B1427,DG!A:D,DG!$D$2,)</f>
        <v>cái</v>
      </c>
      <c r="G1427" s="595">
        <f>[3]pp1p!CQ90</f>
        <v>0</v>
      </c>
      <c r="H1427" s="355">
        <f>G1427</f>
        <v>0</v>
      </c>
      <c r="I1427" s="355">
        <f>H1427+J1427-K1427</f>
        <v>0</v>
      </c>
      <c r="J1427" s="355"/>
      <c r="K1427" s="355"/>
      <c r="L1427" s="367"/>
      <c r="M1427" s="332"/>
      <c r="N1427" s="340"/>
      <c r="O1427" s="341"/>
    </row>
    <row r="1428" spans="1:15" ht="16.2">
      <c r="A1428" s="288"/>
      <c r="B1428" s="417" t="s">
        <v>1016</v>
      </c>
      <c r="C1428" s="388" t="str">
        <f>IF(OR(I1428&lt;&gt;0,H1428&lt;&gt;0),"x"," ")</f>
        <v xml:space="preserve"> </v>
      </c>
      <c r="D1428" s="338"/>
      <c r="E1428" s="358" t="str">
        <f>VLOOKUP($B1428,DG!A:D,DG!$C$2,)</f>
        <v>Ống nối dây cỡ 50mm2</v>
      </c>
      <c r="F1428" s="594" t="str">
        <f>VLOOKUP($B1428,DG!A:D,DG!$D$2,)</f>
        <v>cái</v>
      </c>
      <c r="G1428" s="595">
        <f>ROUND((G1358/0.195/0.198)/1500,0)</f>
        <v>0</v>
      </c>
      <c r="H1428" s="355">
        <f t="shared" si="68"/>
        <v>0</v>
      </c>
      <c r="I1428" s="355">
        <f>H1428+J1428-K1428</f>
        <v>0</v>
      </c>
      <c r="J1428" s="355"/>
      <c r="K1428" s="355"/>
      <c r="L1428" s="367"/>
      <c r="M1428" s="332"/>
      <c r="N1428" s="340"/>
      <c r="O1428" s="341"/>
    </row>
    <row r="1429" spans="1:15" ht="16.2">
      <c r="A1429" s="288"/>
      <c r="B1429" s="417" t="s">
        <v>1017</v>
      </c>
      <c r="C1429" s="388" t="str">
        <f>IF(OR(I1429&lt;&gt;0,H1429&lt;&gt;0),"x"," ")</f>
        <v xml:space="preserve"> </v>
      </c>
      <c r="D1429" s="338"/>
      <c r="E1429" s="358" t="str">
        <f>VLOOKUP($B1429,DG!A:D,DG!$C$2,)</f>
        <v>Ống nối dây cỡ 70mm2</v>
      </c>
      <c r="F1429" s="594" t="str">
        <f>VLOOKUP($B1429,DG!A:D,DG!$D$2,)</f>
        <v>cái</v>
      </c>
      <c r="G1429" s="595">
        <f>ROUND((G1357/0.276/(0.276+0.0045)+G1359)/1400,0)</f>
        <v>0</v>
      </c>
      <c r="H1429" s="355">
        <f t="shared" si="68"/>
        <v>0</v>
      </c>
      <c r="I1429" s="355">
        <f>H1429+J1429-K1429</f>
        <v>0</v>
      </c>
      <c r="J1429" s="355"/>
      <c r="K1429" s="355"/>
      <c r="L1429" s="367"/>
      <c r="M1429" s="332"/>
      <c r="N1429" s="340"/>
      <c r="O1429" s="341"/>
    </row>
    <row r="1430" spans="1:15" ht="16.2">
      <c r="A1430" s="288"/>
      <c r="B1430" s="417" t="s">
        <v>1023</v>
      </c>
      <c r="C1430" s="388" t="str">
        <f>IF(OR(I1430&lt;&gt;0,H1430&lt;&gt;0),"x"," ")</f>
        <v xml:space="preserve"> </v>
      </c>
      <c r="D1430" s="338"/>
      <c r="E1430" s="358" t="str">
        <f>VLOOKUP($B1430,DG!A:D,DG!$C$2,)</f>
        <v xml:space="preserve">Dây nhôm buộc </v>
      </c>
      <c r="F1430" s="594" t="str">
        <f>VLOOKUP($B1430,DG!A:D,DG!$D$2,)</f>
        <v>kg</v>
      </c>
      <c r="G1430" s="595">
        <f>SUM(G1434:G1435)*5/1.4</f>
        <v>0</v>
      </c>
      <c r="H1430" s="355">
        <f t="shared" si="68"/>
        <v>0</v>
      </c>
      <c r="I1430" s="355">
        <f>H1430+J1430-K1430</f>
        <v>0</v>
      </c>
      <c r="J1430" s="355"/>
      <c r="K1430" s="355"/>
      <c r="L1430" s="367"/>
      <c r="M1430" s="332"/>
      <c r="N1430" s="340"/>
      <c r="O1430" s="341"/>
    </row>
    <row r="1431" spans="1:15" ht="16.2">
      <c r="A1431" s="288"/>
      <c r="B1431" s="417" t="s">
        <v>1157</v>
      </c>
      <c r="C1431" s="388" t="str">
        <f>IF(OR(I1431&lt;&gt;0,H1431&lt;&gt;0),"x"," ")</f>
        <v xml:space="preserve"> </v>
      </c>
      <c r="D1431" s="338"/>
      <c r="E1431" s="358" t="str">
        <f>VLOOKUP($B1431,DG!A:D,DG!$C$2,)</f>
        <v>Giá chữ "T" lắp FCO, LA (V63x63x6)</v>
      </c>
      <c r="F1431" s="594" t="str">
        <f>VLOOKUP($B1431,DG!A:D,DG!$D$2,)</f>
        <v>bộ</v>
      </c>
      <c r="G1431" s="595">
        <f>[3]pp1p!CN90*0</f>
        <v>0</v>
      </c>
      <c r="H1431" s="355">
        <f>G1431</f>
        <v>0</v>
      </c>
      <c r="I1431" s="355">
        <f>H1431+J1431-K1431</f>
        <v>0</v>
      </c>
      <c r="J1431" s="355"/>
      <c r="K1431" s="355"/>
      <c r="L1431" s="367"/>
      <c r="M1431" s="332"/>
      <c r="N1431" s="340"/>
      <c r="O1431" s="341"/>
    </row>
    <row r="1432" spans="1:15" ht="16.2">
      <c r="A1432" s="288"/>
      <c r="B1432" s="417" t="s">
        <v>1024</v>
      </c>
      <c r="C1432" s="388" t="str">
        <f>IF(OR(I1432&lt;&gt;0,H1432&lt;&gt;0),"x"," ")</f>
        <v xml:space="preserve"> </v>
      </c>
      <c r="D1432" s="338"/>
      <c r="E1432" s="358" t="str">
        <f>VLOOKUP($B1432,DG!A:D,DG!$C$2,)</f>
        <v>Biển số - Bảng nguy hiểm</v>
      </c>
      <c r="F1432" s="594" t="str">
        <f>VLOOKUP($B1432,DG!A:D,DG!$D$2,)</f>
        <v>cái</v>
      </c>
      <c r="G1432" s="595"/>
      <c r="H1432" s="355">
        <f t="shared" si="68"/>
        <v>0</v>
      </c>
      <c r="I1432" s="355">
        <f>H1432+J1432-K1432</f>
        <v>0</v>
      </c>
      <c r="J1432" s="355"/>
      <c r="K1432" s="355"/>
      <c r="L1432" s="367"/>
      <c r="M1432" s="332"/>
      <c r="N1432" s="340"/>
      <c r="O1432" s="341"/>
    </row>
    <row r="1433" spans="1:15" ht="16.2">
      <c r="A1433" s="288"/>
      <c r="B1433" s="417" t="s">
        <v>1158</v>
      </c>
      <c r="C1433" s="388" t="str">
        <f>IF(OR(I1433&lt;&gt;0,H1433&lt;&gt;0),"x"," ")</f>
        <v xml:space="preserve"> </v>
      </c>
      <c r="D1433" s="338"/>
      <c r="E1433" s="358" t="str">
        <f>VLOOKUP($B1433,DG!A:D,DG!$C$2,)</f>
        <v>Chụp đầu cực FCO (bộ 2 cái)</v>
      </c>
      <c r="F1433" s="594" t="str">
        <f>VLOOKUP($B1433,DG!A:D,DG!$D$2,)</f>
        <v>bộ</v>
      </c>
      <c r="G1433" s="595">
        <f>G1715</f>
        <v>0</v>
      </c>
      <c r="H1433" s="355">
        <f>G1433</f>
        <v>0</v>
      </c>
      <c r="I1433" s="355">
        <f>H1433+J1433-K1433</f>
        <v>0</v>
      </c>
      <c r="J1433" s="355"/>
      <c r="K1433" s="355"/>
      <c r="L1433" s="367"/>
      <c r="M1433" s="332"/>
      <c r="N1433" s="340"/>
      <c r="O1433" s="341"/>
    </row>
    <row r="1434" spans="1:15" ht="16.2">
      <c r="A1434" s="288"/>
      <c r="B1434" s="417" t="s">
        <v>1025</v>
      </c>
      <c r="C1434" s="388" t="str">
        <f>IF(OR(I1434&lt;&gt;0,H1434&lt;&gt;0),"x"," ")</f>
        <v xml:space="preserve"> </v>
      </c>
      <c r="D1434" s="338" t="str">
        <f>VLOOKUP($B1434,DG!A:D,DG!$B$2,)</f>
        <v>06.6114</v>
      </c>
      <c r="E1434" s="366" t="str">
        <f>VLOOKUP($B1434,DG!A:D,DG!$C$2,)</f>
        <v>Kéo dây nhôm lõi thép cỡ dây 50mm2</v>
      </c>
      <c r="F1434" s="594" t="str">
        <f>VLOOKUP($B1434,DG!A:D,DG!$D$2,)</f>
        <v>km</v>
      </c>
      <c r="G1434" s="595">
        <f>(D1358)/1000</f>
        <v>0</v>
      </c>
      <c r="H1434" s="355">
        <f t="shared" ref="H1434:H1449" si="69">G1434</f>
        <v>0</v>
      </c>
      <c r="I1434" s="355">
        <f>H1434+J1434-K1434</f>
        <v>0</v>
      </c>
      <c r="J1434" s="355"/>
      <c r="K1434" s="355"/>
      <c r="L1434" s="367"/>
      <c r="M1434" s="332"/>
      <c r="N1434" s="340"/>
      <c r="O1434" s="341"/>
    </row>
    <row r="1435" spans="1:15" ht="16.2">
      <c r="A1435" s="288"/>
      <c r="B1435" s="417" t="s">
        <v>1027</v>
      </c>
      <c r="C1435" s="388" t="str">
        <f>IF(OR(I1435&lt;&gt;0,H1435&lt;&gt;0),"x"," ")</f>
        <v xml:space="preserve"> </v>
      </c>
      <c r="D1435" s="338" t="str">
        <f>VLOOKUP($B1435,DG!A:D,DG!$B$2,)</f>
        <v>06.6105</v>
      </c>
      <c r="E1435" s="366" t="str">
        <f>VLOOKUP($B1435,DG!A:D,DG!$C$2,)</f>
        <v>Kéo dây nhôm lõi thép cỡ dây 70mm2</v>
      </c>
      <c r="F1435" s="594" t="str">
        <f>VLOOKUP($B1435,DG!A:D,DG!$D$2,)</f>
        <v>km</v>
      </c>
      <c r="G1435" s="595">
        <f>(D1357)/1000</f>
        <v>0</v>
      </c>
      <c r="H1435" s="355">
        <f t="shared" si="69"/>
        <v>0</v>
      </c>
      <c r="I1435" s="355">
        <f>H1435+J1435-K1435</f>
        <v>0</v>
      </c>
      <c r="J1435" s="355"/>
      <c r="K1435" s="355"/>
      <c r="L1435" s="367"/>
      <c r="M1435" s="332"/>
      <c r="N1435" s="340"/>
      <c r="O1435" s="341"/>
    </row>
    <row r="1436" spans="1:15" ht="16.2">
      <c r="A1436" s="288"/>
      <c r="B1436" s="417" t="s">
        <v>1031</v>
      </c>
      <c r="C1436" s="388" t="str">
        <f>IF(OR(I1436&lt;&gt;0,H1436&lt;&gt;0),"x"," ")</f>
        <v xml:space="preserve"> </v>
      </c>
      <c r="D1436" s="338" t="str">
        <f>VLOOKUP($B1436,DG!A:D,DG!$B$2,)</f>
        <v>06.6114</v>
      </c>
      <c r="E1436" s="366" t="str">
        <f>VLOOKUP($B1436,DG!A:D,DG!$C$2,)</f>
        <v>Kéo dây nhôm bọc cỡ dây 50mm2</v>
      </c>
      <c r="F1436" s="594" t="str">
        <f>VLOOKUP($B1436,DG!A:D,DG!$D$2,)</f>
        <v>km</v>
      </c>
      <c r="G1436" s="595">
        <f>D1359/1000</f>
        <v>0</v>
      </c>
      <c r="H1436" s="355">
        <f t="shared" si="69"/>
        <v>0</v>
      </c>
      <c r="I1436" s="355">
        <f>H1436+J1436-K1436</f>
        <v>0</v>
      </c>
      <c r="J1436" s="355"/>
      <c r="K1436" s="355"/>
      <c r="L1436" s="367"/>
      <c r="M1436" s="332"/>
      <c r="N1436" s="340"/>
      <c r="O1436" s="341"/>
    </row>
    <row r="1437" spans="1:15" ht="16.2">
      <c r="A1437" s="288"/>
      <c r="B1437" s="351" t="s">
        <v>1075</v>
      </c>
      <c r="C1437" s="388" t="str">
        <f>IF(OR(I1437&lt;&gt;0,H1437&lt;&gt;0),"x"," ")</f>
        <v xml:space="preserve"> </v>
      </c>
      <c r="D1437" s="338" t="str">
        <f>VLOOKUP($B1437,DG!A:D,DG!$B$2,)</f>
        <v>06.1115</v>
      </c>
      <c r="E1437" s="366" t="str">
        <f>VLOOKUP($B1437,DG!A:D,DG!$C$2,)</f>
        <v>Lắp sứ đứng 24KV</v>
      </c>
      <c r="F1437" s="594" t="str">
        <f>VLOOKUP($B1437,DG!A:D,DG!$D$2,)</f>
        <v>bộ</v>
      </c>
      <c r="G1437" s="595">
        <f>G1373+G1376+G1380</f>
        <v>0</v>
      </c>
      <c r="H1437" s="355">
        <f t="shared" si="69"/>
        <v>0</v>
      </c>
      <c r="I1437" s="355">
        <f>H1437+J1437-K1437</f>
        <v>0</v>
      </c>
      <c r="J1437" s="355"/>
      <c r="K1437" s="355"/>
      <c r="L1437" s="367"/>
      <c r="M1437" s="332"/>
      <c r="N1437" s="340"/>
      <c r="O1437" s="341"/>
    </row>
    <row r="1438" spans="1:15" ht="16.2">
      <c r="A1438" s="288"/>
      <c r="B1438" s="351" t="s">
        <v>1076</v>
      </c>
      <c r="C1438" s="388" t="str">
        <f>IF(OR(I1438&lt;&gt;0,H1438&lt;&gt;0),"x"," ")</f>
        <v xml:space="preserve"> </v>
      </c>
      <c r="D1438" s="338" t="str">
        <f>VLOOKUP($B1438,DG!A:D,DG!$B$2,)</f>
        <v>06.3231</v>
      </c>
      <c r="E1438" s="366" t="str">
        <f>VLOOKUP($B1438,DG!A:D,DG!$C$2,)</f>
        <v>Lắp chân sứ đỉnh</v>
      </c>
      <c r="F1438" s="594" t="str">
        <f>VLOOKUP($B1438,DG!A:D,DG!$D$2,)</f>
        <v>cái</v>
      </c>
      <c r="G1438" s="595">
        <f>G1377+G1381</f>
        <v>0</v>
      </c>
      <c r="H1438" s="355">
        <f t="shared" si="69"/>
        <v>0</v>
      </c>
      <c r="I1438" s="355">
        <f>H1438+J1438-K1438</f>
        <v>0</v>
      </c>
      <c r="J1438" s="355"/>
      <c r="K1438" s="355"/>
      <c r="L1438" s="367"/>
      <c r="M1438" s="332"/>
      <c r="N1438" s="340"/>
      <c r="O1438" s="341"/>
    </row>
    <row r="1439" spans="1:15" ht="16.2">
      <c r="A1439" s="288"/>
      <c r="B1439" s="351" t="s">
        <v>1040</v>
      </c>
      <c r="C1439" s="388" t="str">
        <f>IF(OR(I1439&lt;&gt;0,H1439&lt;&gt;0),"x"," ")</f>
        <v xml:space="preserve"> </v>
      </c>
      <c r="D1439" s="338" t="str">
        <f>VLOOKUP($B1439,DG!A:D,DG!$B$2,)</f>
        <v>06.1410</v>
      </c>
      <c r="E1439" s="366" t="str">
        <f>VLOOKUP($B1439,DG!A:D,DG!$C$2,)</f>
        <v>Lắp chuỗi sứ đỡ 2 bát/chuỗi</v>
      </c>
      <c r="F1439" s="594" t="str">
        <f>VLOOKUP($B1439,DG!A:D,DG!$D$2,)</f>
        <v>chuỗi</v>
      </c>
      <c r="G1439" s="595">
        <f>G1405</f>
        <v>0</v>
      </c>
      <c r="H1439" s="355">
        <f t="shared" si="69"/>
        <v>0</v>
      </c>
      <c r="I1439" s="355">
        <f>H1439+J1439-K1439</f>
        <v>0</v>
      </c>
      <c r="J1439" s="355"/>
      <c r="K1439" s="355"/>
      <c r="L1439" s="367"/>
      <c r="M1439" s="332"/>
      <c r="N1439" s="340"/>
      <c r="O1439" s="341"/>
    </row>
    <row r="1440" spans="1:15" ht="16.2">
      <c r="A1440" s="288"/>
      <c r="B1440" s="351" t="s">
        <v>1041</v>
      </c>
      <c r="C1440" s="388" t="str">
        <f>IF(OR(I1440&lt;&gt;0,H1440&lt;&gt;0),"x"," ")</f>
        <v xml:space="preserve"> </v>
      </c>
      <c r="D1440" s="338" t="str">
        <f>VLOOKUP($B1440,DG!A:D,DG!$B$2,)</f>
        <v>06.1511</v>
      </c>
      <c r="E1440" s="366" t="str">
        <f>VLOOKUP($B1440,DG!A:D,DG!$C$2,)</f>
        <v>Lắp chuỗi sứ néo 2 bát/chuỗi</v>
      </c>
      <c r="F1440" s="594" t="str">
        <f>VLOOKUP($B1440,DG!A:D,DG!$D$2,)</f>
        <v>chuỗi</v>
      </c>
      <c r="G1440" s="595">
        <f>SUM(G1406:G1407)</f>
        <v>0</v>
      </c>
      <c r="H1440" s="355">
        <f t="shared" si="69"/>
        <v>0</v>
      </c>
      <c r="I1440" s="355">
        <f>H1440+J1440-K1440</f>
        <v>0</v>
      </c>
      <c r="J1440" s="355"/>
      <c r="K1440" s="355"/>
      <c r="L1440" s="367"/>
      <c r="M1440" s="332"/>
      <c r="N1440" s="340"/>
      <c r="O1440" s="341"/>
    </row>
    <row r="1441" spans="1:15" ht="16.2">
      <c r="A1441" s="288"/>
      <c r="B1441" s="351" t="s">
        <v>1042</v>
      </c>
      <c r="C1441" s="388" t="str">
        <f>IF(OR(I1441&lt;&gt;0,H1441&lt;&gt;0),"x"," ")</f>
        <v xml:space="preserve"> </v>
      </c>
      <c r="D1441" s="338" t="str">
        <f>VLOOKUP($B1441,DG!A:D,DG!$B$2,)</f>
        <v>06.2201</v>
      </c>
      <c r="E1441" s="366" t="str">
        <f>VLOOKUP($B1441,DG!A:D,DG!$C$2,)</f>
        <v>Lắp chuỗi sứ néo Polymer</v>
      </c>
      <c r="F1441" s="594" t="str">
        <f>VLOOKUP($B1441,DG!A:D,DG!$D$2,)</f>
        <v>chuỗi</v>
      </c>
      <c r="G1441" s="595">
        <f>G1393+G1389</f>
        <v>0</v>
      </c>
      <c r="H1441" s="355">
        <f t="shared" si="69"/>
        <v>0</v>
      </c>
      <c r="I1441" s="355">
        <f>H1441+J1441-K1441</f>
        <v>0</v>
      </c>
      <c r="J1441" s="355"/>
      <c r="K1441" s="355"/>
      <c r="L1441" s="367"/>
      <c r="M1441" s="332"/>
      <c r="N1441" s="340"/>
      <c r="O1441" s="341"/>
    </row>
    <row r="1442" spans="1:15" ht="16.2">
      <c r="A1442" s="288"/>
      <c r="B1442" s="351" t="s">
        <v>1046</v>
      </c>
      <c r="C1442" s="388" t="str">
        <f>IF(OR(I1442&lt;&gt;0,H1442&lt;&gt;0),"x"," ")</f>
        <v xml:space="preserve"> </v>
      </c>
      <c r="D1442" s="338" t="str">
        <f>VLOOKUP($B1442,DG!A:D,DG!$B$2,)</f>
        <v>06.1211</v>
      </c>
      <c r="E1442" s="366" t="str">
        <f>VLOOKUP($B1442,DG!A:D,DG!$C$2,)</f>
        <v>Lắp rack sứ + sứ ống chỉ</v>
      </c>
      <c r="F1442" s="594" t="str">
        <f>VLOOKUP($B1442,DG!A:D,DG!$D$2,)</f>
        <v>bộ</v>
      </c>
      <c r="G1442" s="595">
        <f>G1361+G1364</f>
        <v>0</v>
      </c>
      <c r="H1442" s="355">
        <f t="shared" si="69"/>
        <v>0</v>
      </c>
      <c r="I1442" s="355">
        <f>H1442+J1442-K1442</f>
        <v>0</v>
      </c>
      <c r="J1442" s="355"/>
      <c r="K1442" s="355"/>
      <c r="L1442" s="367"/>
      <c r="M1442" s="332"/>
      <c r="N1442" s="340"/>
      <c r="O1442" s="341"/>
    </row>
    <row r="1443" spans="1:15" ht="16.2">
      <c r="A1443" s="288"/>
      <c r="B1443" s="351" t="s">
        <v>1058</v>
      </c>
      <c r="C1443" s="388" t="str">
        <f>IF(OR(I1443&lt;&gt;0,H1443&lt;&gt;0),"x"," ")</f>
        <v xml:space="preserve"> </v>
      </c>
      <c r="D1443" s="338" t="str">
        <f>VLOOKUP($B1443,DG!A:D,DG!$B$2,)</f>
        <v>06.5072</v>
      </c>
      <c r="E1443" s="366" t="str">
        <f>VLOOKUP($B1443,DG!A:D,DG!$C$2,)</f>
        <v xml:space="preserve">Kéo dây qua vị trí bẻ góc dây </v>
      </c>
      <c r="F1443" s="594" t="str">
        <f>VLOOKUP($B1443,DG!A:D,DG!$D$2,)</f>
        <v>vị trí</v>
      </c>
      <c r="G1443" s="595">
        <f>I1443</f>
        <v>0</v>
      </c>
      <c r="H1443" s="355"/>
      <c r="I1443" s="355">
        <f>H1443+J1443-K1443</f>
        <v>0</v>
      </c>
      <c r="J1443" s="355"/>
      <c r="K1443" s="355"/>
      <c r="L1443" s="367"/>
      <c r="M1443" s="332"/>
      <c r="N1443" s="340"/>
      <c r="O1443" s="341"/>
    </row>
    <row r="1444" spans="1:15" ht="16.2">
      <c r="A1444" s="288"/>
      <c r="B1444" s="351" t="s">
        <v>1059</v>
      </c>
      <c r="C1444" s="388" t="str">
        <f>IF(OR(I1444&lt;&gt;0,H1444&lt;&gt;0),"x"," ")</f>
        <v xml:space="preserve"> </v>
      </c>
      <c r="D1444" s="338" t="str">
        <f>VLOOKUP($B1444,DG!A:D,DG!$B$2,)</f>
        <v>06.5082</v>
      </c>
      <c r="E1444" s="366" t="s">
        <v>1159</v>
      </c>
      <c r="F1444" s="594" t="str">
        <f>VLOOKUP($B1444,DG!A:D,DG!$D$2,)</f>
        <v>vị trí</v>
      </c>
      <c r="G1444" s="595">
        <f>[3]pp1p!CQ90*0</f>
        <v>0</v>
      </c>
      <c r="H1444" s="355">
        <f t="shared" si="69"/>
        <v>0</v>
      </c>
      <c r="I1444" s="355">
        <f>H1444+J1444-K1444</f>
        <v>0</v>
      </c>
      <c r="J1444" s="355"/>
      <c r="K1444" s="355"/>
      <c r="L1444" s="367"/>
      <c r="M1444" s="332"/>
      <c r="N1444" s="340"/>
      <c r="O1444" s="341"/>
    </row>
    <row r="1445" spans="1:15" ht="16.2">
      <c r="A1445" s="288"/>
      <c r="B1445" s="351" t="s">
        <v>1060</v>
      </c>
      <c r="C1445" s="388" t="str">
        <f>IF(OR(I1445&lt;&gt;0,H1445&lt;&gt;0),"x"," ")</f>
        <v xml:space="preserve"> </v>
      </c>
      <c r="D1445" s="338" t="str">
        <f>VLOOKUP($B1445,DG!A:D,DG!$B$2,)</f>
        <v>02.1122</v>
      </c>
      <c r="E1445" s="366" t="str">
        <f>VLOOKUP($B1445,DG!A:D,DG!$C$2,)</f>
        <v>Bốc dỡ dây</v>
      </c>
      <c r="F1445" s="594" t="str">
        <f>VLOOKUP($B1445,DG!A:D,DG!$D$2,)</f>
        <v>tấn</v>
      </c>
      <c r="G1445" s="595">
        <f>G1448</f>
        <v>0</v>
      </c>
      <c r="H1445" s="355">
        <f t="shared" si="69"/>
        <v>0</v>
      </c>
      <c r="I1445" s="355">
        <f>H1445+J1445-K1445</f>
        <v>0</v>
      </c>
      <c r="J1445" s="355"/>
      <c r="K1445" s="355"/>
      <c r="L1445" s="367"/>
      <c r="M1445" s="332"/>
      <c r="N1445" s="340"/>
      <c r="O1445" s="341"/>
    </row>
    <row r="1446" spans="1:15" ht="16.2">
      <c r="A1446" s="288"/>
      <c r="B1446" s="351" t="s">
        <v>604</v>
      </c>
      <c r="C1446" s="388" t="str">
        <f>IF(OR(I1446&lt;&gt;0,H1446&lt;&gt;0),"x"," ")</f>
        <v xml:space="preserve"> </v>
      </c>
      <c r="D1446" s="338" t="str">
        <f>VLOOKUP($B1446,DG!A:D,DG!$B$2,)</f>
        <v>02.1120</v>
      </c>
      <c r="E1446" s="366" t="str">
        <f>VLOOKUP($B1446,DG!A:D,DG!$C$2,)</f>
        <v>Bốc dỡ phụ kiện</v>
      </c>
      <c r="F1446" s="594" t="str">
        <f>VLOOKUP($B1446,DG!A:D,DG!$D$2,)</f>
        <v>tấn</v>
      </c>
      <c r="G1446" s="595">
        <f>G1447</f>
        <v>0</v>
      </c>
      <c r="H1446" s="355">
        <f t="shared" si="69"/>
        <v>0</v>
      </c>
      <c r="I1446" s="355">
        <f>H1446+J1446-K1446</f>
        <v>0</v>
      </c>
      <c r="J1446" s="355"/>
      <c r="K1446" s="355"/>
      <c r="L1446" s="367"/>
      <c r="M1446" s="332"/>
      <c r="N1446" s="340"/>
      <c r="O1446" s="341"/>
    </row>
    <row r="1447" spans="1:15" ht="16.2">
      <c r="A1447" s="288"/>
      <c r="B1447" s="371" t="s">
        <v>827</v>
      </c>
      <c r="C1447" s="388" t="str">
        <f>IF(OR(I1447&lt;&gt;0,H1447&lt;&gt;0),"x"," ")</f>
        <v xml:space="preserve"> </v>
      </c>
      <c r="D1447" s="338" t="str">
        <f>VLOOKUP($B1447,DG!A:C,2,)</f>
        <v>02.1421</v>
      </c>
      <c r="E1447" s="366" t="str">
        <f>VLOOKUP($B1447,DG!A:C,3,)</f>
        <v>V/c phụ kiện vào vị trí (cự ly &lt;=100m)</v>
      </c>
      <c r="F1447" s="594" t="str">
        <f>VLOOKUP($B1447,DG!A:D,4,0)</f>
        <v>tấn</v>
      </c>
      <c r="G1447" s="595">
        <f>ROUND((G1360*2++G1363*5+G1372*7+G1375*15+G1379*25+G1383*15+G1393*15+G1399*15)/1000,2)*0</f>
        <v>0</v>
      </c>
      <c r="H1447" s="355">
        <f t="shared" si="69"/>
        <v>0</v>
      </c>
      <c r="I1447" s="355">
        <f>H1447+J1447-K1447</f>
        <v>0</v>
      </c>
      <c r="J1447" s="355"/>
      <c r="K1447" s="355"/>
      <c r="L1447" s="367"/>
      <c r="M1447" s="332"/>
      <c r="N1447" s="340"/>
      <c r="O1447" s="341"/>
    </row>
    <row r="1448" spans="1:15" ht="16.2">
      <c r="A1448" s="288"/>
      <c r="B1448" s="371" t="s">
        <v>1061</v>
      </c>
      <c r="C1448" s="388" t="str">
        <f>IF(OR(I1448&lt;&gt;0,H1448&lt;&gt;0),"x"," ")</f>
        <v xml:space="preserve"> </v>
      </c>
      <c r="D1448" s="338" t="str">
        <f>VLOOKUP($B1448,DG!A:C,2,)</f>
        <v>02.1441</v>
      </c>
      <c r="E1448" s="366" t="str">
        <f>VLOOKUP($B1448,DG!A:C,3,)</f>
        <v>V/c dây vào vị trí (cự ly &lt;=100m)</v>
      </c>
      <c r="F1448" s="594" t="str">
        <f>VLOOKUP($B1448,DG!A:D,4,0)</f>
        <v>tấn</v>
      </c>
      <c r="G1448" s="595">
        <f>ROUND(SUM(G1357:G1358)*1.05/1000+G1359*0.189*1.1/1000+G1425*0.35/1000,2)*0</f>
        <v>0</v>
      </c>
      <c r="H1448" s="355">
        <f t="shared" si="69"/>
        <v>0</v>
      </c>
      <c r="I1448" s="355">
        <f>H1448+J1448-K1448</f>
        <v>0</v>
      </c>
      <c r="J1448" s="355"/>
      <c r="K1448" s="355"/>
      <c r="L1448" s="367"/>
      <c r="M1448" s="332"/>
      <c r="N1448" s="340"/>
      <c r="O1448" s="341"/>
    </row>
    <row r="1449" spans="1:15" ht="16.2">
      <c r="A1449" s="288"/>
      <c r="B1449" s="356" t="s">
        <v>901</v>
      </c>
      <c r="C1449" s="388" t="str">
        <f>IF(OR(I1449&lt;&gt;0,H1449&lt;&gt;0),"x"," ")</f>
        <v xml:space="preserve"> </v>
      </c>
      <c r="D1449" s="338" t="str">
        <f>VLOOKUP($B1449,DG!A:C,2,)</f>
        <v>02.1482</v>
      </c>
      <c r="E1449" s="366" t="str">
        <f>VLOOKUP($B1449,DG!A:C,3,)</f>
        <v>V/c dụng cụ thi công vào vị trí (cự ly &lt;=100m)</v>
      </c>
      <c r="F1449" s="594" t="str">
        <f>VLOOKUP($B1449,DG!A:D,4,0)</f>
        <v>tấn</v>
      </c>
      <c r="G1449" s="595">
        <f>IF(G1448&lt;&gt;0,5,0)</f>
        <v>0</v>
      </c>
      <c r="H1449" s="355">
        <f t="shared" si="69"/>
        <v>0</v>
      </c>
      <c r="I1449" s="355">
        <f>H1449+J1449-K1449</f>
        <v>0</v>
      </c>
      <c r="J1449" s="355"/>
      <c r="K1449" s="355"/>
      <c r="L1449" s="367"/>
      <c r="M1449" s="332"/>
      <c r="N1449" s="340"/>
      <c r="O1449" s="341"/>
    </row>
    <row r="1450" spans="1:15" ht="16.2" collapsed="1">
      <c r="A1450" s="342" t="s">
        <v>1160</v>
      </c>
      <c r="B1450" s="343" t="s">
        <v>1160</v>
      </c>
      <c r="C1450" s="388" t="str">
        <f>IF(G1450&lt;&gt;0,"x"," ")</f>
        <v xml:space="preserve"> </v>
      </c>
      <c r="D1450" s="347" t="s">
        <v>932</v>
      </c>
      <c r="E1450" s="346" t="s">
        <v>1161</v>
      </c>
      <c r="F1450" s="593" t="s">
        <v>934</v>
      </c>
      <c r="G1450" s="349">
        <f>IF(SUM(G1451:G1473)=0,0,1)</f>
        <v>0</v>
      </c>
      <c r="H1450" s="349">
        <f>IFERROR(HLOOKUP(B1450,'BKT-ThuHoi'!$5:$183,179,0),0)</f>
        <v>0</v>
      </c>
      <c r="I1450" s="350">
        <f>H1450+J1450-K1450</f>
        <v>0</v>
      </c>
      <c r="J1450" s="350"/>
      <c r="K1450" s="350"/>
      <c r="L1450" s="348"/>
      <c r="M1450" s="332"/>
      <c r="N1450" s="340"/>
      <c r="O1450" s="341"/>
    </row>
    <row r="1451" spans="1:15" ht="16.2">
      <c r="A1451" s="288"/>
      <c r="B1451" s="351" t="s">
        <v>1162</v>
      </c>
      <c r="C1451" s="388" t="str">
        <f>IF(OR(I1451&lt;&gt;0,H1451&lt;&gt;0),"x"," ")</f>
        <v xml:space="preserve"> </v>
      </c>
      <c r="D1451" s="410">
        <f>[3]ppht!C345</f>
        <v>0</v>
      </c>
      <c r="E1451" s="358" t="str">
        <f>VLOOKUP($B1451,DG!A:D,DG!$C$2,)</f>
        <v>Cáp nhôm bọc AV95</v>
      </c>
      <c r="F1451" s="594" t="str">
        <f>VLOOKUP($B1451,DG!A:D,DG!$D$2,)</f>
        <v>mét</v>
      </c>
      <c r="G1451" s="595">
        <f>ROUND(D1451*1.02,0)</f>
        <v>0</v>
      </c>
      <c r="H1451" s="355">
        <f>$G1451</f>
        <v>0</v>
      </c>
      <c r="I1451" s="355">
        <f>H1451+J1451-K1451</f>
        <v>0</v>
      </c>
      <c r="J1451" s="355"/>
      <c r="K1451" s="355"/>
      <c r="L1451" s="367"/>
      <c r="M1451" s="332"/>
      <c r="N1451" s="340"/>
      <c r="O1451" s="341"/>
    </row>
    <row r="1452" spans="1:15" ht="16.2">
      <c r="A1452" s="288"/>
      <c r="B1452" s="351" t="s">
        <v>1163</v>
      </c>
      <c r="C1452" s="388" t="str">
        <f>IF(OR(I1452&lt;&gt;0,H1452&lt;&gt;0),"x"," ")</f>
        <v xml:space="preserve"> </v>
      </c>
      <c r="D1452" s="435">
        <f>[3]ppht!C344</f>
        <v>0</v>
      </c>
      <c r="E1452" s="425" t="str">
        <f>VLOOKUP($B1452,DG!A:D,DG!$C$2,)</f>
        <v>Cáp nhôm bọc AV50</v>
      </c>
      <c r="F1452" s="594" t="str">
        <f>VLOOKUP($B1452,DG!A:D,DG!$D$2,)</f>
        <v>mét</v>
      </c>
      <c r="G1452" s="595">
        <f>ROUND(D1452*1.02,0)</f>
        <v>0</v>
      </c>
      <c r="H1452" s="355">
        <f>$G1452</f>
        <v>0</v>
      </c>
      <c r="I1452" s="355">
        <f>H1452+J1452-K1452</f>
        <v>0</v>
      </c>
      <c r="J1452" s="355"/>
      <c r="K1452" s="355"/>
      <c r="L1452" s="367"/>
      <c r="M1452" s="332"/>
      <c r="N1452" s="340"/>
      <c r="O1452" s="341"/>
    </row>
    <row r="1453" spans="1:15" ht="16.2">
      <c r="A1453" s="288"/>
      <c r="B1453" s="351" t="s">
        <v>941</v>
      </c>
      <c r="C1453" s="388" t="str">
        <f>IF(OR(I1453&lt;&gt;0,H1453&lt;&gt;0),"x"," ")</f>
        <v xml:space="preserve"> </v>
      </c>
      <c r="D1453" s="435"/>
      <c r="E1453" s="425" t="str">
        <f>VLOOKUP($B1453,DG!A:D,DG!$C$2,)</f>
        <v>Cáp nhôm lõi thép AC-50/8</v>
      </c>
      <c r="F1453" s="594" t="str">
        <f>VLOOKUP($B1453,DG!A:D,DG!$D$2,)</f>
        <v>kg</v>
      </c>
      <c r="G1453" s="595">
        <f>ROUND(D1453*1.02*0.195,0)</f>
        <v>0</v>
      </c>
      <c r="H1453" s="355">
        <f t="shared" ref="H1453:H1538" si="70">G1453</f>
        <v>0</v>
      </c>
      <c r="I1453" s="355">
        <f>H1453+J1453-K1453</f>
        <v>0</v>
      </c>
      <c r="J1453" s="355"/>
      <c r="K1453" s="355"/>
      <c r="L1453" s="367"/>
      <c r="M1453" s="332"/>
      <c r="N1453" s="340"/>
      <c r="O1453" s="341"/>
    </row>
    <row r="1454" spans="1:15" ht="16.2">
      <c r="A1454" s="288"/>
      <c r="B1454" s="351" t="s">
        <v>1164</v>
      </c>
      <c r="C1454" s="388" t="str">
        <f>IF(OR(I1454&lt;&gt;0,H1454&lt;&gt;0),"x"," ")</f>
        <v xml:space="preserve"> </v>
      </c>
      <c r="D1454" s="410">
        <f>[3]ppht!C351</f>
        <v>0</v>
      </c>
      <c r="E1454" s="358" t="str">
        <f>VLOOKUP($B1454,DG!A:D,DG!$C$2,)</f>
        <v>Cáp nhôm ABC 3x50mm2</v>
      </c>
      <c r="F1454" s="594" t="str">
        <f>VLOOKUP($B1454,DG!A:D,DG!$D$2,)</f>
        <v>mét</v>
      </c>
      <c r="G1454" s="595">
        <f t="shared" ref="G1454:G1460" si="71">ROUND(D1454*1.02,0)</f>
        <v>0</v>
      </c>
      <c r="H1454" s="355">
        <f t="shared" si="70"/>
        <v>0</v>
      </c>
      <c r="I1454" s="355">
        <f>H1454+J1454-K1454</f>
        <v>0</v>
      </c>
      <c r="J1454" s="355"/>
      <c r="K1454" s="355"/>
      <c r="L1454" s="367"/>
      <c r="M1454" s="332"/>
      <c r="N1454" s="340"/>
      <c r="O1454" s="341"/>
    </row>
    <row r="1455" spans="1:15" ht="16.2">
      <c r="A1455" s="288"/>
      <c r="B1455" s="351" t="s">
        <v>1165</v>
      </c>
      <c r="C1455" s="388" t="str">
        <f>IF(OR(I1455&lt;&gt;0,H1455&lt;&gt;0),"x"," ")</f>
        <v xml:space="preserve"> </v>
      </c>
      <c r="D1455" s="410">
        <f>[3]ppht!C348</f>
        <v>0</v>
      </c>
      <c r="E1455" s="358" t="str">
        <f>VLOOKUP($B1455,DG!A:D,DG!$C$2,)</f>
        <v>Cáp nhôm ABC 3x70mm2</v>
      </c>
      <c r="F1455" s="594" t="str">
        <f>VLOOKUP($B1455,DG!A:D,DG!$D$2,)</f>
        <v>mét</v>
      </c>
      <c r="G1455" s="595">
        <f t="shared" si="71"/>
        <v>0</v>
      </c>
      <c r="H1455" s="355">
        <f t="shared" si="70"/>
        <v>0</v>
      </c>
      <c r="I1455" s="355">
        <f>H1455+J1455-K1455</f>
        <v>0</v>
      </c>
      <c r="J1455" s="355"/>
      <c r="K1455" s="355"/>
      <c r="L1455" s="367"/>
      <c r="M1455" s="332"/>
      <c r="N1455" s="340"/>
      <c r="O1455" s="341"/>
    </row>
    <row r="1456" spans="1:15" ht="16.2">
      <c r="A1456" s="288"/>
      <c r="B1456" s="351" t="s">
        <v>1166</v>
      </c>
      <c r="C1456" s="388" t="str">
        <f>IF(OR(I1456&lt;&gt;0,H1456&lt;&gt;0),"x"," ")</f>
        <v xml:space="preserve"> </v>
      </c>
      <c r="D1456" s="410">
        <f>[3]ppht!C349</f>
        <v>0</v>
      </c>
      <c r="E1456" s="358" t="str">
        <f>VLOOKUP($B1456,DG!A:D,DG!$C$2,)</f>
        <v>Cáp nhôm ABC 4x50mm2</v>
      </c>
      <c r="F1456" s="594" t="str">
        <f>VLOOKUP($B1456,DG!A:D,DG!$D$2,)</f>
        <v>mét</v>
      </c>
      <c r="G1456" s="595">
        <f t="shared" si="71"/>
        <v>0</v>
      </c>
      <c r="H1456" s="355">
        <f t="shared" si="70"/>
        <v>0</v>
      </c>
      <c r="I1456" s="355">
        <f>H1456+J1456-K1456</f>
        <v>0</v>
      </c>
      <c r="J1456" s="355"/>
      <c r="K1456" s="355"/>
      <c r="L1456" s="367"/>
      <c r="M1456" s="332"/>
      <c r="N1456" s="340"/>
      <c r="O1456" s="341"/>
    </row>
    <row r="1457" spans="1:15" ht="16.2">
      <c r="A1457" s="288"/>
      <c r="B1457" s="351" t="s">
        <v>1167</v>
      </c>
      <c r="C1457" s="388" t="str">
        <f>IF(OR(I1457&lt;&gt;0,H1457&lt;&gt;0),"x"," ")</f>
        <v xml:space="preserve"> </v>
      </c>
      <c r="D1457" s="436"/>
      <c r="E1457" s="437" t="str">
        <f>VLOOKUP($B1457,DG!A:D,DG!$C$2,)</f>
        <v>Cáp nhôm ABC 3x95mm2</v>
      </c>
      <c r="F1457" s="593" t="str">
        <f>VLOOKUP($B1457,DG!A:D,DG!$D$2,)</f>
        <v>mét</v>
      </c>
      <c r="G1457" s="349">
        <f t="shared" si="71"/>
        <v>0</v>
      </c>
      <c r="H1457" s="349">
        <f>IFERROR(HLOOKUP(B1457,'BKT-ThuHoi'!$5:$183,179,0),0)</f>
        <v>0</v>
      </c>
      <c r="I1457" s="350">
        <f>H1457+J1457-K1457</f>
        <v>0</v>
      </c>
      <c r="J1457" s="350"/>
      <c r="K1457" s="350"/>
      <c r="L1457" s="348"/>
      <c r="M1457" s="332"/>
      <c r="N1457" s="340"/>
      <c r="O1457" s="341"/>
    </row>
    <row r="1458" spans="1:15" ht="16.2">
      <c r="A1458" s="288"/>
      <c r="B1458" s="351" t="s">
        <v>1168</v>
      </c>
      <c r="C1458" s="388" t="str">
        <f>IF(OR(I1458&lt;&gt;0,H1458&lt;&gt;0),"x"," ")</f>
        <v xml:space="preserve"> </v>
      </c>
      <c r="D1458" s="410">
        <f>[3]ppht!C347</f>
        <v>0</v>
      </c>
      <c r="E1458" s="358" t="str">
        <f>VLOOKUP($B1458,DG!A:D,DG!$C$2,)</f>
        <v>Cáp nhôm ABC 4x95mm2</v>
      </c>
      <c r="F1458" s="594" t="str">
        <f>VLOOKUP($B1458,DG!A:D,DG!$D$2,)</f>
        <v>mét</v>
      </c>
      <c r="G1458" s="595">
        <f t="shared" si="71"/>
        <v>0</v>
      </c>
      <c r="H1458" s="355">
        <f t="shared" si="70"/>
        <v>0</v>
      </c>
      <c r="I1458" s="355">
        <f>H1458+J1458-K1458</f>
        <v>0</v>
      </c>
      <c r="J1458" s="355"/>
      <c r="K1458" s="355"/>
      <c r="L1458" s="367"/>
      <c r="M1458" s="332"/>
      <c r="N1458" s="340"/>
      <c r="O1458" s="341"/>
    </row>
    <row r="1459" spans="1:15" ht="16.2">
      <c r="A1459" s="288"/>
      <c r="B1459" s="351" t="s">
        <v>1169</v>
      </c>
      <c r="C1459" s="388" t="str">
        <f>IF(OR(I1459&lt;&gt;0,H1459&lt;&gt;0),"x"," ")</f>
        <v xml:space="preserve"> </v>
      </c>
      <c r="D1459" s="410">
        <f>[3]ppht!C346</f>
        <v>0</v>
      </c>
      <c r="E1459" s="358" t="str">
        <f>VLOOKUP($B1459,DG!A:D,DG!$C$2,)</f>
        <v>Cáp nhôm ABC 4x150mm2</v>
      </c>
      <c r="F1459" s="594" t="str">
        <f>VLOOKUP($B1459,DG!A:D,DG!$D$2,)</f>
        <v>mét</v>
      </c>
      <c r="G1459" s="595">
        <f t="shared" si="71"/>
        <v>0</v>
      </c>
      <c r="H1459" s="355">
        <f t="shared" si="70"/>
        <v>0</v>
      </c>
      <c r="I1459" s="355">
        <f>H1459+J1459-K1459</f>
        <v>0</v>
      </c>
      <c r="J1459" s="355"/>
      <c r="K1459" s="355"/>
      <c r="L1459" s="367"/>
      <c r="M1459" s="332"/>
      <c r="N1459" s="340"/>
      <c r="O1459" s="341"/>
    </row>
    <row r="1460" spans="1:15" ht="16.2">
      <c r="A1460" s="288"/>
      <c r="B1460" s="351" t="s">
        <v>1170</v>
      </c>
      <c r="C1460" s="388" t="str">
        <f>IF(OR(I1460&lt;&gt;0,H1460&lt;&gt;0),"x"," ")</f>
        <v xml:space="preserve"> </v>
      </c>
      <c r="D1460" s="410"/>
      <c r="E1460" s="358" t="str">
        <f>VLOOKUP($B1460,DG!A:D,DG!$C$2,)&amp;": 9m/tủ phân phối"</f>
        <v>Cáp C/XLPE/DSTA/PVC -0.6/1kV-3x50+35mm2: 9m/tủ phân phối</v>
      </c>
      <c r="F1460" s="594" t="str">
        <f>VLOOKUP($B1460,DG!A:D,DG!$D$2,)</f>
        <v>mét</v>
      </c>
      <c r="G1460" s="595">
        <f t="shared" si="71"/>
        <v>0</v>
      </c>
      <c r="H1460" s="355">
        <f t="shared" si="70"/>
        <v>0</v>
      </c>
      <c r="I1460" s="355">
        <f>H1460+J1460-K1460</f>
        <v>0</v>
      </c>
      <c r="J1460" s="355"/>
      <c r="K1460" s="355"/>
      <c r="L1460" s="367"/>
      <c r="M1460" s="332"/>
      <c r="N1460" s="340"/>
      <c r="O1460" s="341"/>
    </row>
    <row r="1461" spans="1:15" ht="16.2">
      <c r="A1461" s="288"/>
      <c r="B1461" s="351" t="s">
        <v>1171</v>
      </c>
      <c r="C1461" s="388" t="str">
        <f>IF(OR(I1461&lt;&gt;0,H1461&lt;&gt;0),"x"," ")</f>
        <v xml:space="preserve"> </v>
      </c>
      <c r="D1461" s="410"/>
      <c r="E1461" s="358" t="str">
        <f>VLOOKUP($B1461,DG!A:D,DG!$C$2,)</f>
        <v>Cáp đồng bọc CV25</v>
      </c>
      <c r="F1461" s="594" t="str">
        <f>VLOOKUP($B1461,DG!A:D,DG!$D$2,)</f>
        <v>mét</v>
      </c>
      <c r="G1461" s="595">
        <f>[3]ppht!DK342</f>
        <v>0</v>
      </c>
      <c r="H1461" s="355">
        <f>[3]ppht!DK342</f>
        <v>0</v>
      </c>
      <c r="I1461" s="355">
        <f>H1461+J1461-K1461</f>
        <v>0</v>
      </c>
      <c r="J1461" s="355"/>
      <c r="K1461" s="355"/>
      <c r="L1461" s="367"/>
      <c r="M1461" s="332"/>
      <c r="N1461" s="340"/>
      <c r="O1461" s="341"/>
    </row>
    <row r="1462" spans="1:15" ht="16.2">
      <c r="A1462" s="288"/>
      <c r="B1462" s="438" t="s">
        <v>1018</v>
      </c>
      <c r="C1462" s="388" t="str">
        <f>IF(OR(I1462&lt;&gt;0,H1462&lt;&gt;0),"x"," ")</f>
        <v xml:space="preserve"> </v>
      </c>
      <c r="D1462" s="338"/>
      <c r="E1462" s="358" t="str">
        <f>VLOOKUP($B1462,DG!A:D,DG!$C$2,)</f>
        <v>Ống nối dây cỡ 95mm2</v>
      </c>
      <c r="F1462" s="594" t="str">
        <f>VLOOKUP($B1462,DG!A:D,DG!$D$2,)</f>
        <v>cái</v>
      </c>
      <c r="G1462" s="595"/>
      <c r="H1462" s="355">
        <f t="shared" ref="H1462:H1469" si="72">G1462</f>
        <v>0</v>
      </c>
      <c r="I1462" s="355">
        <f>H1462+J1462-K1462</f>
        <v>0</v>
      </c>
      <c r="J1462" s="355"/>
      <c r="K1462" s="355"/>
      <c r="L1462" s="367"/>
      <c r="M1462" s="332"/>
      <c r="N1462" s="340"/>
      <c r="O1462" s="341"/>
    </row>
    <row r="1463" spans="1:15" ht="16.2">
      <c r="A1463" s="288"/>
      <c r="B1463" s="351" t="s">
        <v>1172</v>
      </c>
      <c r="C1463" s="388" t="str">
        <f>IF(OR(I1463&lt;&gt;0,H1463&lt;&gt;0),"x"," ")</f>
        <v xml:space="preserve"> </v>
      </c>
      <c r="D1463" s="338"/>
      <c r="E1463" s="358" t="str">
        <f>VLOOKUP($B1463,DG!A:D,DG!$C$2,)</f>
        <v>Đầu cosse ép Cu-Al 50mm2</v>
      </c>
      <c r="F1463" s="594" t="str">
        <f>VLOOKUP($B1463,DG!A:D,DG!$D$2,)</f>
        <v>cái</v>
      </c>
      <c r="G1463" s="595"/>
      <c r="H1463" s="355">
        <f t="shared" si="72"/>
        <v>0</v>
      </c>
      <c r="I1463" s="355">
        <f>H1463+J1463-K1463</f>
        <v>0</v>
      </c>
      <c r="J1463" s="355"/>
      <c r="K1463" s="355"/>
      <c r="L1463" s="367"/>
      <c r="M1463" s="332"/>
      <c r="N1463" s="340"/>
      <c r="O1463" s="341"/>
    </row>
    <row r="1464" spans="1:15" ht="16.2">
      <c r="A1464" s="288"/>
      <c r="B1464" s="351" t="s">
        <v>1173</v>
      </c>
      <c r="C1464" s="388" t="str">
        <f>IF(OR(I1464&lt;&gt;0,H1464&lt;&gt;0),"x"," ")</f>
        <v xml:space="preserve"> </v>
      </c>
      <c r="D1464" s="338"/>
      <c r="E1464" s="358" t="str">
        <f>VLOOKUP($B1464,DG!A:D,DG!$C$2,)</f>
        <v>Đầu cosse ép Cu-Al 70mm2</v>
      </c>
      <c r="F1464" s="594" t="str">
        <f>VLOOKUP($B1464,DG!A:D,DG!$D$2,)</f>
        <v>cái</v>
      </c>
      <c r="G1464" s="595"/>
      <c r="H1464" s="355">
        <f t="shared" si="72"/>
        <v>0</v>
      </c>
      <c r="I1464" s="355">
        <f>H1464+J1464-K1464</f>
        <v>0</v>
      </c>
      <c r="J1464" s="355"/>
      <c r="K1464" s="355"/>
      <c r="L1464" s="367"/>
      <c r="M1464" s="332"/>
      <c r="N1464" s="340"/>
      <c r="O1464" s="341"/>
    </row>
    <row r="1465" spans="1:15" ht="16.2">
      <c r="A1465" s="288"/>
      <c r="B1465" s="351" t="s">
        <v>1174</v>
      </c>
      <c r="C1465" s="388" t="str">
        <f>IF(OR(I1465&lt;&gt;0,H1465&lt;&gt;0),"x"," ")</f>
        <v xml:space="preserve"> </v>
      </c>
      <c r="D1465" s="338"/>
      <c r="E1465" s="358" t="str">
        <f>VLOOKUP($B1465,DG!A:D,DG!$C$2,)</f>
        <v>Boulon thau 12x50</v>
      </c>
      <c r="F1465" s="594" t="str">
        <f>VLOOKUP($B1465,DG!A:D,DG!$D$2,)</f>
        <v>bộ</v>
      </c>
      <c r="G1465" s="595"/>
      <c r="H1465" s="355">
        <f t="shared" si="72"/>
        <v>0</v>
      </c>
      <c r="I1465" s="355">
        <f>H1465+J1465-K1465</f>
        <v>0</v>
      </c>
      <c r="J1465" s="355"/>
      <c r="K1465" s="355"/>
      <c r="L1465" s="367"/>
      <c r="M1465" s="332"/>
      <c r="N1465" s="340"/>
      <c r="O1465" s="341"/>
    </row>
    <row r="1466" spans="1:15" ht="16.2">
      <c r="A1466" s="288"/>
      <c r="B1466" s="351" t="s">
        <v>599</v>
      </c>
      <c r="C1466" s="388" t="str">
        <f>IF(OR(I1466&lt;&gt;0,H1466&lt;&gt;0),"x"," ")</f>
        <v xml:space="preserve"> </v>
      </c>
      <c r="D1466" s="338"/>
      <c r="E1466" s="358" t="str">
        <f>VLOOKUP($B1466,DG!A:D,DG!$C$2,)</f>
        <v>Cọc tiếp đất Ø 16- 2,4m + kẹp cọc</v>
      </c>
      <c r="F1466" s="594" t="str">
        <f>VLOOKUP($B1466,DG!A:D,DG!$D$2,)</f>
        <v>bộ</v>
      </c>
      <c r="G1466" s="595"/>
      <c r="H1466" s="355">
        <f t="shared" si="72"/>
        <v>0</v>
      </c>
      <c r="I1466" s="355">
        <f>H1466+J1466-K1466</f>
        <v>0</v>
      </c>
      <c r="J1466" s="355"/>
      <c r="K1466" s="355"/>
      <c r="L1466" s="367"/>
      <c r="M1466" s="332"/>
      <c r="N1466" s="340"/>
      <c r="O1466" s="341"/>
    </row>
    <row r="1467" spans="1:15" ht="16.2">
      <c r="A1467" s="288"/>
      <c r="B1467" s="351" t="s">
        <v>637</v>
      </c>
      <c r="C1467" s="388" t="str">
        <f>IF(OR(I1467&lt;&gt;0,H1467&lt;&gt;0),"x"," ")</f>
        <v xml:space="preserve"> </v>
      </c>
      <c r="D1467" s="338"/>
      <c r="E1467" s="358" t="str">
        <f>VLOOKUP($B1467,DG!A:D,DG!$C$2,)</f>
        <v>Cáp đồng trần M25mm2</v>
      </c>
      <c r="F1467" s="594" t="str">
        <f>VLOOKUP($B1467,DG!A:D,DG!$D$2,)</f>
        <v>kg</v>
      </c>
      <c r="G1467" s="595"/>
      <c r="H1467" s="355">
        <f t="shared" si="72"/>
        <v>0</v>
      </c>
      <c r="I1467" s="355">
        <f>H1467+J1467-K1467</f>
        <v>0</v>
      </c>
      <c r="J1467" s="355"/>
      <c r="K1467" s="355"/>
      <c r="L1467" s="367"/>
      <c r="M1467" s="332"/>
      <c r="N1467" s="340"/>
      <c r="O1467" s="341"/>
    </row>
    <row r="1468" spans="1:15" ht="16.2">
      <c r="A1468" s="288"/>
      <c r="B1468" s="351" t="s">
        <v>1175</v>
      </c>
      <c r="C1468" s="388" t="str">
        <f>IF(OR(I1468&lt;&gt;0,H1468&lt;&gt;0),"x"," ")</f>
        <v xml:space="preserve"> </v>
      </c>
      <c r="D1468" s="338"/>
      <c r="E1468" s="358" t="str">
        <f>VLOOKUP($B1468,DG!A:D,DG!$C$2,)</f>
        <v>Ghíp nối IPC 50-25 1 bulong</v>
      </c>
      <c r="F1468" s="594" t="str">
        <f>VLOOKUP($B1468,DG!A:D,DG!$D$2,)</f>
        <v>cái</v>
      </c>
      <c r="G1468" s="595">
        <f>[3]ppht!CS342</f>
        <v>0</v>
      </c>
      <c r="H1468" s="355">
        <f t="shared" si="72"/>
        <v>0</v>
      </c>
      <c r="I1468" s="355">
        <f>H1468+J1468-K1468</f>
        <v>0</v>
      </c>
      <c r="J1468" s="355"/>
      <c r="K1468" s="355"/>
      <c r="L1468" s="367"/>
      <c r="M1468" s="332"/>
      <c r="N1468" s="340"/>
      <c r="O1468" s="341"/>
    </row>
    <row r="1469" spans="1:15" ht="16.2">
      <c r="A1469" s="288"/>
      <c r="B1469" s="351" t="s">
        <v>1176</v>
      </c>
      <c r="C1469" s="388" t="str">
        <f>IF(OR(I1469&lt;&gt;0,H1469&lt;&gt;0),"x"," ")</f>
        <v xml:space="preserve"> </v>
      </c>
      <c r="D1469" s="338"/>
      <c r="E1469" s="358" t="str">
        <f>VLOOKUP($B1469,DG!A:D,DG!$C$2,)</f>
        <v>Ghíp nối IPC 50-50 1 bulong</v>
      </c>
      <c r="F1469" s="594" t="str">
        <f>VLOOKUP($B1469,DG!A:D,DG!$D$2,)</f>
        <v>cái</v>
      </c>
      <c r="G1469" s="595">
        <f>[3]ppht!CR342</f>
        <v>0</v>
      </c>
      <c r="H1469" s="355">
        <f t="shared" si="72"/>
        <v>0</v>
      </c>
      <c r="I1469" s="355">
        <f>H1469+J1469-K1469</f>
        <v>0</v>
      </c>
      <c r="J1469" s="355"/>
      <c r="K1469" s="355"/>
      <c r="L1469" s="367"/>
      <c r="M1469" s="332"/>
      <c r="N1469" s="340"/>
      <c r="O1469" s="341"/>
    </row>
    <row r="1470" spans="1:15" ht="16.2">
      <c r="A1470" s="288"/>
      <c r="B1470" s="351" t="s">
        <v>600</v>
      </c>
      <c r="C1470" s="388" t="str">
        <f>IF(OR(I1470&lt;&gt;0,H1470&lt;&gt;0),"x"," ")</f>
        <v xml:space="preserve"> </v>
      </c>
      <c r="D1470" s="338"/>
      <c r="E1470" s="358" t="s">
        <v>1177</v>
      </c>
      <c r="F1470" s="594" t="str">
        <f>VLOOKUP($B1470,DG!A:D,DG!$D$2,)</f>
        <v>cái</v>
      </c>
      <c r="G1470" s="595">
        <f>+[3]ppht!CU342</f>
        <v>0</v>
      </c>
      <c r="H1470" s="355">
        <f t="shared" si="70"/>
        <v>0</v>
      </c>
      <c r="I1470" s="355">
        <f>H1470+J1470-K1470</f>
        <v>0</v>
      </c>
      <c r="J1470" s="355"/>
      <c r="K1470" s="355"/>
      <c r="L1470" s="367"/>
      <c r="M1470" s="332"/>
      <c r="N1470" s="340"/>
      <c r="O1470" s="341"/>
    </row>
    <row r="1471" spans="1:15" ht="16.2">
      <c r="A1471" s="288"/>
      <c r="B1471" s="351" t="s">
        <v>1178</v>
      </c>
      <c r="C1471" s="388" t="str">
        <f>IF(OR(I1471&lt;&gt;0,H1471&lt;&gt;0),"x"," ")</f>
        <v xml:space="preserve"> </v>
      </c>
      <c r="D1471" s="338"/>
      <c r="E1471" s="358" t="str">
        <f>VLOOKUP($B1471,DG!A:D,DG!$C$2,)&amp;" 2 bulong"</f>
        <v>Ghíp nối IPC 70-70 2 bulong</v>
      </c>
      <c r="F1471" s="594" t="str">
        <f>VLOOKUP($B1471,DG!A:D,DG!$D$2,)</f>
        <v>cái</v>
      </c>
      <c r="G1471" s="595">
        <f>[3]ppht!CQ338</f>
        <v>0</v>
      </c>
      <c r="H1471" s="355">
        <f t="shared" si="70"/>
        <v>0</v>
      </c>
      <c r="I1471" s="355">
        <f>H1471+J1471-K1471</f>
        <v>0</v>
      </c>
      <c r="J1471" s="355"/>
      <c r="K1471" s="355"/>
      <c r="L1471" s="367"/>
      <c r="M1471" s="332"/>
      <c r="N1471" s="340"/>
      <c r="O1471" s="341"/>
    </row>
    <row r="1472" spans="1:15" ht="16.2">
      <c r="A1472" s="288"/>
      <c r="B1472" s="351" t="s">
        <v>1179</v>
      </c>
      <c r="C1472" s="388" t="str">
        <f>IF(OR(I1472&lt;&gt;0,H1472&lt;&gt;0),"x"," ")</f>
        <v xml:space="preserve"> </v>
      </c>
      <c r="D1472" s="338"/>
      <c r="E1472" s="358" t="str">
        <f>VLOOKUP($B1472,DG!A:D,DG!$C$2,)</f>
        <v>Ghíp nối IPC 95-70</v>
      </c>
      <c r="F1472" s="594" t="str">
        <f>VLOOKUP($B1472,DG!A:D,DG!$D$2,)</f>
        <v>cái</v>
      </c>
      <c r="G1472" s="595">
        <f>[3]ppht!CO338</f>
        <v>0</v>
      </c>
      <c r="H1472" s="355">
        <f t="shared" si="70"/>
        <v>0</v>
      </c>
      <c r="I1472" s="355">
        <f>H1472+J1472-K1472</f>
        <v>0</v>
      </c>
      <c r="J1472" s="355"/>
      <c r="K1472" s="355"/>
      <c r="L1472" s="367"/>
      <c r="M1472" s="332"/>
      <c r="N1472" s="340"/>
      <c r="O1472" s="341"/>
    </row>
    <row r="1473" spans="1:15" ht="16.2">
      <c r="A1473" s="288"/>
      <c r="B1473" s="351" t="s">
        <v>1180</v>
      </c>
      <c r="C1473" s="388" t="str">
        <f>IF(OR(I1473&lt;&gt;0,H1473&lt;&gt;0),"x"," ")</f>
        <v xml:space="preserve"> </v>
      </c>
      <c r="D1473" s="338"/>
      <c r="E1473" s="358" t="str">
        <f>VLOOKUP($B1473,DG!A:D,DG!$C$2,)</f>
        <v>Ghíp nối IPC 150-70</v>
      </c>
      <c r="F1473" s="594" t="str">
        <f>VLOOKUP($B1473,DG!A:D,DG!$D$2,)</f>
        <v>cái</v>
      </c>
      <c r="G1473" s="595">
        <f>[3]ppht!CK338*0</f>
        <v>0</v>
      </c>
      <c r="H1473" s="355">
        <f>G1473+M1473</f>
        <v>0</v>
      </c>
      <c r="I1473" s="355">
        <f>H1473+J1473-K1473</f>
        <v>0</v>
      </c>
      <c r="J1473" s="355"/>
      <c r="K1473" s="355"/>
      <c r="L1473" s="367"/>
      <c r="M1473" s="332"/>
      <c r="N1473" s="340"/>
      <c r="O1473" s="341"/>
    </row>
    <row r="1474" spans="1:15" ht="16.2">
      <c r="A1474" s="288"/>
      <c r="B1474" s="351" t="s">
        <v>1181</v>
      </c>
      <c r="C1474" s="388" t="str">
        <f>IF(OR(I1474&lt;&gt;0,H1474&lt;&gt;0),"x"," ")</f>
        <v xml:space="preserve"> </v>
      </c>
      <c r="D1474" s="338"/>
      <c r="E1474" s="358" t="str">
        <f>VLOOKUP($B1474,DG!A:D,DG!$C$2,)</f>
        <v>Ghíp nối IPC 95-150</v>
      </c>
      <c r="F1474" s="594" t="str">
        <f>VLOOKUP($B1474,DG!A:D,DG!$D$2,)</f>
        <v>cái</v>
      </c>
      <c r="G1474" s="595">
        <f>[3]ppht!CL338</f>
        <v>0</v>
      </c>
      <c r="H1474" s="355">
        <f t="shared" si="70"/>
        <v>0</v>
      </c>
      <c r="I1474" s="355">
        <f>H1474+J1474-K1474</f>
        <v>0</v>
      </c>
      <c r="J1474" s="355"/>
      <c r="K1474" s="355"/>
      <c r="L1474" s="367"/>
      <c r="M1474" s="332"/>
      <c r="N1474" s="340"/>
      <c r="O1474" s="341"/>
    </row>
    <row r="1475" spans="1:15" ht="16.2">
      <c r="A1475" s="288"/>
      <c r="B1475" s="351" t="s">
        <v>1182</v>
      </c>
      <c r="C1475" s="388" t="str">
        <f>IF(OR(I1475&lt;&gt;0,H1475&lt;&gt;0),"x"," ")</f>
        <v xml:space="preserve"> </v>
      </c>
      <c r="D1475" s="338"/>
      <c r="E1475" s="358" t="str">
        <f>VLOOKUP($B1475,DG!A:D,DG!$C$2,)&amp;" (2 boulon)"</f>
        <v>Ghíp nối IPC 95-35 (2 boulon)</v>
      </c>
      <c r="F1475" s="594" t="str">
        <f>VLOOKUP($B1475,DG!A:D,DG!$D$2,)</f>
        <v>cái</v>
      </c>
      <c r="G1475" s="595">
        <f>[3]ppht!CM338</f>
        <v>0</v>
      </c>
      <c r="H1475" s="355">
        <f>G1475</f>
        <v>0</v>
      </c>
      <c r="I1475" s="355">
        <f>H1475+J1475-K1475</f>
        <v>0</v>
      </c>
      <c r="J1475" s="355"/>
      <c r="K1475" s="355"/>
      <c r="L1475" s="367"/>
      <c r="M1475" s="332"/>
      <c r="N1475" s="340"/>
      <c r="O1475" s="341"/>
    </row>
    <row r="1476" spans="1:15" ht="16.2">
      <c r="A1476" s="288"/>
      <c r="B1476" s="351" t="s">
        <v>1183</v>
      </c>
      <c r="C1476" s="388" t="str">
        <f>IF(OR(I1476&lt;&gt;0,H1476&lt;&gt;0),"x"," ")</f>
        <v xml:space="preserve"> </v>
      </c>
      <c r="D1476" s="338"/>
      <c r="E1476" s="358" t="str">
        <f>VLOOKUP($B1476,DG!A:D,DG!$C$2,)&amp;" (2 boulon)"</f>
        <v>Ghíp nối IPC 95-95 (2 boulon)</v>
      </c>
      <c r="F1476" s="594" t="str">
        <f>VLOOKUP($B1476,DG!A:D,DG!$D$2,)</f>
        <v>cái</v>
      </c>
      <c r="G1476" s="595">
        <f>[3]ppht!CP338</f>
        <v>0</v>
      </c>
      <c r="H1476" s="355">
        <f t="shared" si="70"/>
        <v>0</v>
      </c>
      <c r="I1476" s="355">
        <f>H1476+J1476-K1476</f>
        <v>0</v>
      </c>
      <c r="J1476" s="355"/>
      <c r="K1476" s="355"/>
      <c r="L1476" s="367"/>
      <c r="M1476" s="332"/>
      <c r="N1476" s="340"/>
      <c r="O1476" s="341"/>
    </row>
    <row r="1477" spans="1:15" ht="16.2">
      <c r="A1477" s="288"/>
      <c r="B1477" s="351" t="s">
        <v>1184</v>
      </c>
      <c r="C1477" s="388" t="str">
        <f>IF(OR(I1477&lt;&gt;0,H1477&lt;&gt;0),"x"," ")</f>
        <v xml:space="preserve"> </v>
      </c>
      <c r="D1477" s="338"/>
      <c r="E1477" s="358" t="str">
        <f>VLOOKUP($B1477,DG!A:D,DG!$C$2,)</f>
        <v>Ghíp nối IPC 95-50 1 bulong</v>
      </c>
      <c r="F1477" s="594" t="str">
        <f>VLOOKUP($B1477,DG!A:D,DG!$D$2,)</f>
        <v>cái</v>
      </c>
      <c r="G1477" s="595">
        <f>[3]ppht!CN338</f>
        <v>0</v>
      </c>
      <c r="H1477" s="355">
        <f t="shared" si="70"/>
        <v>0</v>
      </c>
      <c r="I1477" s="355">
        <f>H1477+J1477-K1477</f>
        <v>0</v>
      </c>
      <c r="J1477" s="355"/>
      <c r="K1477" s="355"/>
      <c r="L1477" s="367"/>
      <c r="M1477" s="332"/>
      <c r="N1477" s="340"/>
      <c r="O1477" s="341"/>
    </row>
    <row r="1478" spans="1:15" ht="16.2">
      <c r="A1478" s="288"/>
      <c r="B1478" s="351" t="s">
        <v>1003</v>
      </c>
      <c r="C1478" s="388" t="str">
        <f>IF(OR(I1478&lt;&gt;0,H1478&lt;&gt;0),"x"," ")</f>
        <v xml:space="preserve"> </v>
      </c>
      <c r="D1478" s="338"/>
      <c r="E1478" s="358" t="str">
        <f>VLOOKUP($B1478,DG!A:D,DG!$C$2,)</f>
        <v>Kẹp ép WR cỡ dây 95mm2</v>
      </c>
      <c r="F1478" s="594" t="str">
        <f>VLOOKUP($B1478,DG!A:D,DG!$D$2,)</f>
        <v>cái</v>
      </c>
      <c r="G1478" s="595">
        <f>+[3]ppht!DQ342</f>
        <v>0</v>
      </c>
      <c r="H1478" s="355">
        <f>G1478+M1478</f>
        <v>0</v>
      </c>
      <c r="I1478" s="355">
        <f>H1478+J1478-K1478</f>
        <v>0</v>
      </c>
      <c r="J1478" s="355"/>
      <c r="K1478" s="355"/>
      <c r="L1478" s="367"/>
      <c r="M1478" s="332"/>
      <c r="N1478" s="340"/>
      <c r="O1478" s="341"/>
    </row>
    <row r="1479" spans="1:15" ht="16.2">
      <c r="A1479" s="288"/>
      <c r="B1479" s="351" t="s">
        <v>617</v>
      </c>
      <c r="C1479" s="388" t="str">
        <f>IF(OR(I1479&lt;&gt;0,H1479&lt;&gt;0),"x"," ")</f>
        <v xml:space="preserve"> </v>
      </c>
      <c r="D1479" s="338"/>
      <c r="E1479" s="358" t="str">
        <f>VLOOKUP($B1479,DG!A:D,DG!$C$2,)</f>
        <v>Ghíp nối IPC 50-35</v>
      </c>
      <c r="F1479" s="594" t="str">
        <f>VLOOKUP($B1479,DG!A:D,DG!$D$2,)</f>
        <v>cái</v>
      </c>
      <c r="G1479" s="595">
        <f>[3]ppht!CH338</f>
        <v>0</v>
      </c>
      <c r="H1479" s="355">
        <f t="shared" si="70"/>
        <v>0</v>
      </c>
      <c r="I1479" s="355">
        <f>H1479+J1479-K1479</f>
        <v>0</v>
      </c>
      <c r="J1479" s="355"/>
      <c r="K1479" s="355"/>
      <c r="L1479" s="367"/>
      <c r="M1479" s="332"/>
      <c r="N1479" s="340"/>
      <c r="O1479" s="341"/>
    </row>
    <row r="1480" spans="1:15" ht="16.2">
      <c r="A1480" s="288"/>
      <c r="B1480" s="351" t="s">
        <v>1185</v>
      </c>
      <c r="C1480" s="388" t="str">
        <f>IF(OR(I1480&lt;&gt;0,H1480&lt;&gt;0),"x"," ")</f>
        <v xml:space="preserve"> </v>
      </c>
      <c r="D1480" s="338"/>
      <c r="E1480" s="358" t="str">
        <f>VLOOKUP($B1480,DG!A:D,DG!$C$2,)</f>
        <v>Đầu cosse ép Cu 70mm2</v>
      </c>
      <c r="F1480" s="594" t="str">
        <f>VLOOKUP($B1480,DG!A:D,DG!$D$2,)</f>
        <v>cái</v>
      </c>
      <c r="G1480" s="595"/>
      <c r="H1480" s="355">
        <f>G1480</f>
        <v>0</v>
      </c>
      <c r="I1480" s="355">
        <f>H1480+J1480-K1480</f>
        <v>0</v>
      </c>
      <c r="J1480" s="355"/>
      <c r="K1480" s="355"/>
      <c r="L1480" s="367"/>
      <c r="M1480" s="332"/>
      <c r="N1480" s="340"/>
      <c r="O1480" s="341"/>
    </row>
    <row r="1481" spans="1:15" ht="16.2">
      <c r="A1481" s="288"/>
      <c r="B1481" s="351" t="s">
        <v>1186</v>
      </c>
      <c r="C1481" s="388" t="str">
        <f>IF(OR(I1481&lt;&gt;0,H1481&lt;&gt;0),"x"," ")</f>
        <v xml:space="preserve"> </v>
      </c>
      <c r="D1481" s="338"/>
      <c r="E1481" s="358" t="str">
        <f>VLOOKUP($B1481,DG!A:D,DG!$C$2,)</f>
        <v>Kẹp ép WR 399</v>
      </c>
      <c r="F1481" s="594" t="str">
        <f>VLOOKUP($B1481,DG!A:D,DG!$D$2,)</f>
        <v>cái</v>
      </c>
      <c r="G1481" s="595"/>
      <c r="H1481" s="355">
        <f>G1481</f>
        <v>0</v>
      </c>
      <c r="I1481" s="355">
        <f>H1481+J1481-K1481</f>
        <v>0</v>
      </c>
      <c r="J1481" s="355"/>
      <c r="K1481" s="355"/>
      <c r="L1481" s="367"/>
      <c r="M1481" s="332"/>
      <c r="N1481" s="340"/>
      <c r="O1481" s="341"/>
    </row>
    <row r="1482" spans="1:15" ht="16.2">
      <c r="A1482" s="288"/>
      <c r="B1482" s="439" t="s">
        <v>1187</v>
      </c>
      <c r="C1482" s="388" t="str">
        <f>IF(OR(I1482&lt;&gt;0,H1482&lt;&gt;0),"x"," ")</f>
        <v xml:space="preserve"> </v>
      </c>
      <c r="D1482" s="338"/>
      <c r="E1482" s="437" t="str">
        <f>VLOOKUP($B1482,DG!A:D,DG!$C$2,)</f>
        <v>Hộp phân phối (hộp rỗng)</v>
      </c>
      <c r="F1482" s="593" t="str">
        <f>VLOOKUP($B1482,DG!A:D,DG!$D$2,)</f>
        <v>cái</v>
      </c>
      <c r="G1482" s="349">
        <f>[3]ppht!DJ338+M1482</f>
        <v>0</v>
      </c>
      <c r="H1482" s="349">
        <f>IFERROR(HLOOKUP(B1482,'BKT-ThuHoi'!$5:$183,179,0),0)</f>
        <v>0</v>
      </c>
      <c r="I1482" s="350">
        <f>H1482+J1482-K1482</f>
        <v>0</v>
      </c>
      <c r="J1482" s="350"/>
      <c r="K1482" s="350"/>
      <c r="L1482" s="348"/>
      <c r="M1482" s="332"/>
      <c r="N1482" s="340"/>
      <c r="O1482" s="341"/>
    </row>
    <row r="1483" spans="1:15" ht="16.2">
      <c r="A1483" s="288"/>
      <c r="B1483" s="351" t="s">
        <v>1188</v>
      </c>
      <c r="C1483" s="388" t="str">
        <f>IF(OR(I1483&lt;&gt;0,H1483&lt;&gt;0),"x"," ")</f>
        <v xml:space="preserve"> </v>
      </c>
      <c r="D1483" s="338"/>
      <c r="E1483" s="358" t="str">
        <f>VLOOKUP($B1483,DG!A:D,DG!$C$2,)</f>
        <v>Cáp đồng bọc CV25</v>
      </c>
      <c r="F1483" s="594" t="str">
        <f>VLOOKUP($B1483,DG!A:D,DG!$D$2,)</f>
        <v>mét</v>
      </c>
      <c r="G1483" s="595">
        <f>[3]ppht!DK342</f>
        <v>0</v>
      </c>
      <c r="H1483" s="355"/>
      <c r="I1483" s="355">
        <f>H1483+J1483-K1483</f>
        <v>0</v>
      </c>
      <c r="J1483" s="355"/>
      <c r="K1483" s="355"/>
      <c r="L1483" s="367"/>
      <c r="M1483" s="332"/>
      <c r="N1483" s="340"/>
      <c r="O1483" s="341"/>
    </row>
    <row r="1484" spans="1:15" ht="16.2">
      <c r="A1484" s="288"/>
      <c r="B1484" s="351" t="s">
        <v>1187</v>
      </c>
      <c r="C1484" s="388" t="str">
        <f>IF(OR(I1484&lt;&gt;0,H1484&lt;&gt;0),"x"," ")</f>
        <v xml:space="preserve"> </v>
      </c>
      <c r="D1484" s="338">
        <f>VLOOKUP($B1484,DG!A:D,DG!$B$2,)</f>
        <v>0</v>
      </c>
      <c r="E1484" s="358" t="str">
        <f>VLOOKUP($B1484,DG!A:D,DG!$C$2,)</f>
        <v>Hộp phân phối (hộp rỗng)</v>
      </c>
      <c r="F1484" s="594" t="str">
        <f>VLOOKUP($B1484,DG!A:D,DG!$D$2,)</f>
        <v>cái</v>
      </c>
      <c r="G1484" s="595">
        <f>[3]ppht!DJ342</f>
        <v>0</v>
      </c>
      <c r="H1484" s="355"/>
      <c r="I1484" s="355">
        <f>H1484+J1484-K1484</f>
        <v>0</v>
      </c>
      <c r="J1484" s="355"/>
      <c r="K1484" s="355"/>
      <c r="L1484" s="367"/>
      <c r="M1484" s="332"/>
      <c r="N1484" s="340"/>
      <c r="O1484" s="341"/>
    </row>
    <row r="1485" spans="1:15" ht="16.2">
      <c r="A1485" s="288"/>
      <c r="B1485" s="351" t="s">
        <v>1189</v>
      </c>
      <c r="C1485" s="388" t="str">
        <f>IF(OR(I1485&lt;&gt;0,H1485&lt;&gt;0),"x"," ")</f>
        <v xml:space="preserve"> </v>
      </c>
      <c r="D1485" s="338"/>
      <c r="E1485" s="358" t="str">
        <f>VLOOKUP($B1485,DG!A:D,DG!$C$2,)</f>
        <v>Kẹp treo cáp ABC4x120mm2</v>
      </c>
      <c r="F1485" s="594" t="str">
        <f>VLOOKUP($B1485,DG!A:D,DG!$D$2,)</f>
        <v>cái</v>
      </c>
      <c r="G1485" s="595">
        <f>[3]ppht!DA338</f>
        <v>0</v>
      </c>
      <c r="H1485" s="355">
        <f t="shared" si="70"/>
        <v>0</v>
      </c>
      <c r="I1485" s="355">
        <f>H1485+J1485-K1485</f>
        <v>0</v>
      </c>
      <c r="J1485" s="355"/>
      <c r="K1485" s="355"/>
      <c r="L1485" s="367"/>
      <c r="M1485" s="332"/>
      <c r="N1485" s="340"/>
      <c r="O1485" s="341"/>
    </row>
    <row r="1486" spans="1:15" ht="16.2">
      <c r="A1486" s="288"/>
      <c r="B1486" s="439" t="s">
        <v>1190</v>
      </c>
      <c r="C1486" s="388" t="str">
        <f>IF(OR(I1486&lt;&gt;0,H1486&lt;&gt;0),"x"," ")</f>
        <v>x</v>
      </c>
      <c r="D1486" s="338"/>
      <c r="E1486" s="366" t="s">
        <v>1191</v>
      </c>
      <c r="F1486" s="593" t="str">
        <f>VLOOKUP($B1486,DG!A:D,DG!$D$2,)</f>
        <v>cái</v>
      </c>
      <c r="G1486" s="349">
        <f>[3]ppht!DB338</f>
        <v>0</v>
      </c>
      <c r="H1486" s="350">
        <v>17</v>
      </c>
      <c r="I1486" s="350">
        <f>H1486+J1486-K1486</f>
        <v>17</v>
      </c>
      <c r="J1486" s="350"/>
      <c r="K1486" s="350"/>
      <c r="L1486" s="348"/>
      <c r="M1486" s="332"/>
      <c r="N1486" s="340"/>
      <c r="O1486" s="341"/>
    </row>
    <row r="1487" spans="1:15" ht="16.2">
      <c r="A1487" s="288"/>
      <c r="B1487" s="351" t="s">
        <v>1192</v>
      </c>
      <c r="C1487" s="388" t="str">
        <f>IF(OR(I1487&lt;&gt;0,H1487&lt;&gt;0),"x"," ")</f>
        <v xml:space="preserve"> </v>
      </c>
      <c r="D1487" s="338" t="str">
        <f>VLOOKUP($B1487,DG!A:D,DG!$B$2,)</f>
        <v>06.1201</v>
      </c>
      <c r="E1487" s="358" t="str">
        <f>VLOOKUP($B1487,DG!A:D,DG!$C$2,)</f>
        <v>Kẹp treo cáp ABC4x70mm2</v>
      </c>
      <c r="F1487" s="594" t="str">
        <f>VLOOKUP($B1487,DG!A:D,DG!$D$2,)</f>
        <v>cái</v>
      </c>
      <c r="G1487" s="595">
        <f>[3]ppht!DC338</f>
        <v>0</v>
      </c>
      <c r="H1487" s="355">
        <f t="shared" si="70"/>
        <v>0</v>
      </c>
      <c r="I1487" s="355">
        <f>H1487+J1487-K1487</f>
        <v>0</v>
      </c>
      <c r="J1487" s="355"/>
      <c r="K1487" s="355"/>
      <c r="L1487" s="367"/>
      <c r="M1487" s="332"/>
      <c r="N1487" s="340"/>
      <c r="O1487" s="341"/>
    </row>
    <row r="1488" spans="1:15" ht="16.2">
      <c r="A1488" s="288"/>
      <c r="B1488" s="351" t="s">
        <v>1193</v>
      </c>
      <c r="C1488" s="388" t="str">
        <f>IF(OR(I1488&lt;&gt;0,H1488&lt;&gt;0),"x"," ")</f>
        <v xml:space="preserve"> </v>
      </c>
      <c r="D1488" s="338"/>
      <c r="E1488" s="358" t="str">
        <f>VLOOKUP($B1488,DG!A:D,DG!$C$2,)</f>
        <v>Kẹp treo cáp ABC4x50mm2</v>
      </c>
      <c r="F1488" s="594" t="str">
        <f>VLOOKUP($B1488,DG!A:D,DG!$D$2,)</f>
        <v>cái</v>
      </c>
      <c r="G1488" s="595">
        <f>[3]ppht!DD338</f>
        <v>0</v>
      </c>
      <c r="H1488" s="355">
        <f t="shared" si="70"/>
        <v>0</v>
      </c>
      <c r="I1488" s="355">
        <f>H1488+J1488-K1488</f>
        <v>0</v>
      </c>
      <c r="J1488" s="355"/>
      <c r="K1488" s="355"/>
      <c r="L1488" s="367"/>
      <c r="M1488" s="332"/>
      <c r="N1488" s="340"/>
      <c r="O1488" s="341"/>
    </row>
    <row r="1489" spans="1:15" ht="16.2">
      <c r="A1489" s="288"/>
      <c r="B1489" s="439" t="s">
        <v>1194</v>
      </c>
      <c r="C1489" s="388" t="str">
        <f>IF(OR(I1489&lt;&gt;0,H1489&lt;&gt;0),"x"," ")</f>
        <v xml:space="preserve"> </v>
      </c>
      <c r="D1489" s="338"/>
      <c r="E1489" s="358" t="str">
        <f>VLOOKUP($B1489,DG!A:D,DG!$C$2,)</f>
        <v>Móc treo chữ A</v>
      </c>
      <c r="F1489" s="594" t="str">
        <f>VLOOKUP($B1489,DG!A:D,DG!$D$2,)</f>
        <v>cái</v>
      </c>
      <c r="G1489" s="595">
        <f>[3]ppht!DO338</f>
        <v>0</v>
      </c>
      <c r="H1489" s="355">
        <f>G1489</f>
        <v>0</v>
      </c>
      <c r="I1489" s="355">
        <f>H1489+J1489-K1489</f>
        <v>0</v>
      </c>
      <c r="J1489" s="355"/>
      <c r="K1489" s="355"/>
      <c r="L1489" s="367"/>
      <c r="M1489" s="332"/>
      <c r="N1489" s="340"/>
      <c r="O1489" s="341"/>
    </row>
    <row r="1490" spans="1:15" ht="16.2">
      <c r="A1490" s="288"/>
      <c r="B1490" s="351" t="s">
        <v>1195</v>
      </c>
      <c r="C1490" s="388" t="str">
        <f>IF(OR(I1490&lt;&gt;0,H1490&lt;&gt;0),"x"," ")</f>
        <v xml:space="preserve"> </v>
      </c>
      <c r="D1490" s="338"/>
      <c r="E1490" s="358" t="str">
        <f>VLOOKUP($B1490,DG!A:D,DG!$C$2,)</f>
        <v>Kẹp ngừng cáp ABC4x150mm2</v>
      </c>
      <c r="F1490" s="594" t="str">
        <f>VLOOKUP($B1490,DG!A:D,DG!$D$2,)</f>
        <v>cái</v>
      </c>
      <c r="G1490" s="595">
        <f>[3]ppht!DE338</f>
        <v>0</v>
      </c>
      <c r="H1490" s="355">
        <f t="shared" si="70"/>
        <v>0</v>
      </c>
      <c r="I1490" s="355">
        <f>H1490+J1490-K1490</f>
        <v>0</v>
      </c>
      <c r="J1490" s="355"/>
      <c r="K1490" s="355"/>
      <c r="L1490" s="367"/>
      <c r="M1490" s="332"/>
      <c r="N1490" s="340"/>
      <c r="O1490" s="341"/>
    </row>
    <row r="1491" spans="1:15" ht="16.2">
      <c r="A1491" s="288"/>
      <c r="B1491" s="439" t="s">
        <v>1196</v>
      </c>
      <c r="C1491" s="388" t="str">
        <f>IF(OR(I1491&lt;&gt;0,H1491&lt;&gt;0),"x"," ")</f>
        <v xml:space="preserve"> </v>
      </c>
      <c r="D1491" s="338"/>
      <c r="E1491" s="358" t="str">
        <f>VLOOKUP($B1491,DG!A:D,DG!$C$2,)</f>
        <v>Kẹp ngừng cáp ABC3x95mm2</v>
      </c>
      <c r="F1491" s="594" t="str">
        <f>VLOOKUP($B1491,DG!A:D,DG!$D$2,)</f>
        <v>cái</v>
      </c>
      <c r="G1491" s="595">
        <f>[3]ppht!DF338</f>
        <v>0</v>
      </c>
      <c r="H1491" s="355">
        <f t="shared" si="70"/>
        <v>0</v>
      </c>
      <c r="I1491" s="355">
        <f>H1491+J1491-K1491</f>
        <v>0</v>
      </c>
      <c r="J1491" s="355"/>
      <c r="K1491" s="355"/>
      <c r="L1491" s="367"/>
      <c r="M1491" s="332"/>
      <c r="N1491" s="340"/>
      <c r="O1491" s="341"/>
    </row>
    <row r="1492" spans="1:15" ht="16.2">
      <c r="A1492" s="288"/>
      <c r="B1492" s="351" t="s">
        <v>1197</v>
      </c>
      <c r="C1492" s="388" t="str">
        <f>IF(OR(I1492&lt;&gt;0,H1492&lt;&gt;0),"x"," ")</f>
        <v xml:space="preserve"> </v>
      </c>
      <c r="D1492" s="338" t="str">
        <f>VLOOKUP($B1492,DG!A:D,DG!$B$2,)</f>
        <v>06.1201</v>
      </c>
      <c r="E1492" s="358" t="str">
        <f>VLOOKUP($B1492,DG!A:D,DG!$C$2,)</f>
        <v>Kẹp ngừng cáp ABC4x70mm2</v>
      </c>
      <c r="F1492" s="594" t="str">
        <f>VLOOKUP($B1492,DG!A:D,DG!$D$2,)</f>
        <v>cái</v>
      </c>
      <c r="G1492" s="595">
        <f>[3]ppht!DG338</f>
        <v>0</v>
      </c>
      <c r="H1492" s="355">
        <f t="shared" si="70"/>
        <v>0</v>
      </c>
      <c r="I1492" s="355">
        <f>H1492+J1492-K1492</f>
        <v>0</v>
      </c>
      <c r="J1492" s="355"/>
      <c r="K1492" s="355"/>
      <c r="L1492" s="367"/>
      <c r="M1492" s="332"/>
      <c r="N1492" s="340"/>
      <c r="O1492" s="341"/>
    </row>
    <row r="1493" spans="1:15" ht="16.2">
      <c r="A1493" s="288"/>
      <c r="B1493" s="351" t="s">
        <v>1198</v>
      </c>
      <c r="C1493" s="388" t="str">
        <f>IF(OR(I1493&lt;&gt;0,H1493&lt;&gt;0),"x"," ")</f>
        <v xml:space="preserve"> </v>
      </c>
      <c r="D1493" s="338"/>
      <c r="E1493" s="358" t="str">
        <f>VLOOKUP($B1493,DG!A:D,DG!$C$2,)</f>
        <v>Kẹp ngừng cáp ABC4x50mm2</v>
      </c>
      <c r="F1493" s="594" t="str">
        <f>VLOOKUP($B1493,DG!A:D,DG!$D$2,)</f>
        <v>cái</v>
      </c>
      <c r="G1493" s="595">
        <f>[3]ppht!DH338</f>
        <v>0</v>
      </c>
      <c r="H1493" s="355">
        <f t="shared" si="70"/>
        <v>0</v>
      </c>
      <c r="I1493" s="355">
        <f>H1493+J1493-K1493</f>
        <v>0</v>
      </c>
      <c r="J1493" s="355"/>
      <c r="K1493" s="355"/>
      <c r="L1493" s="367"/>
      <c r="M1493" s="332"/>
      <c r="N1493" s="340"/>
      <c r="O1493" s="341"/>
    </row>
    <row r="1494" spans="1:15" ht="16.2">
      <c r="A1494" s="288"/>
      <c r="B1494" s="351" t="s">
        <v>1199</v>
      </c>
      <c r="C1494" s="388" t="str">
        <f>IF(OR(I1494&lt;&gt;0,H1494&lt;&gt;0),"x"," ")</f>
        <v xml:space="preserve"> </v>
      </c>
      <c r="D1494" s="338"/>
      <c r="E1494" s="358" t="str">
        <f>VLOOKUP($B1494,DG!A:D,DG!$C$2,)</f>
        <v>Nắp bịt đầu cáp ABC150mm2</v>
      </c>
      <c r="F1494" s="594" t="str">
        <f>VLOOKUP($B1494,DG!A:D,DG!$D$2,)</f>
        <v>cái</v>
      </c>
      <c r="G1494" s="595">
        <f>[3]ppht!CV338</f>
        <v>0</v>
      </c>
      <c r="H1494" s="355">
        <f t="shared" si="70"/>
        <v>0</v>
      </c>
      <c r="I1494" s="355">
        <f>H1494+J1494-K1494</f>
        <v>0</v>
      </c>
      <c r="J1494" s="355"/>
      <c r="K1494" s="355"/>
      <c r="L1494" s="367"/>
      <c r="M1494" s="332"/>
      <c r="N1494" s="340"/>
      <c r="O1494" s="341"/>
    </row>
    <row r="1495" spans="1:15" ht="16.2">
      <c r="A1495" s="288"/>
      <c r="B1495" s="351" t="s">
        <v>1200</v>
      </c>
      <c r="C1495" s="388" t="str">
        <f>IF(OR(I1495&lt;&gt;0,H1495&lt;&gt;0),"x"," ")</f>
        <v xml:space="preserve"> </v>
      </c>
      <c r="D1495" s="338"/>
      <c r="E1495" s="358" t="str">
        <f>VLOOKUP($B1495,DG!A:D,DG!$C$2,)</f>
        <v>Nắp bịt đầu cáp ABC95mm2</v>
      </c>
      <c r="F1495" s="594" t="str">
        <f>VLOOKUP($B1495,DG!A:D,DG!$D$2,)</f>
        <v>cái</v>
      </c>
      <c r="G1495" s="595">
        <f>[3]ppht!CW338</f>
        <v>0</v>
      </c>
      <c r="H1495" s="355">
        <f t="shared" si="70"/>
        <v>0</v>
      </c>
      <c r="I1495" s="355">
        <f>H1495+J1495-K1495</f>
        <v>0</v>
      </c>
      <c r="J1495" s="355"/>
      <c r="K1495" s="355"/>
      <c r="L1495" s="367"/>
      <c r="M1495" s="332"/>
      <c r="N1495" s="340"/>
      <c r="O1495" s="341"/>
    </row>
    <row r="1496" spans="1:15" ht="16.2">
      <c r="A1496" s="288"/>
      <c r="B1496" s="351" t="s">
        <v>1201</v>
      </c>
      <c r="C1496" s="388" t="str">
        <f>IF(OR(I1496&lt;&gt;0,H1496&lt;&gt;0),"x"," ")</f>
        <v xml:space="preserve"> </v>
      </c>
      <c r="D1496" s="338"/>
      <c r="E1496" s="358" t="str">
        <f>VLOOKUP($B1496,DG!A:D,DG!$C$2,)</f>
        <v>Nắp bịt đầu cáp ABC70mm2</v>
      </c>
      <c r="F1496" s="594" t="str">
        <f>VLOOKUP($B1496,DG!A:D,DG!$D$2,)</f>
        <v>cái</v>
      </c>
      <c r="G1496" s="595">
        <f>[3]ppht!CX338</f>
        <v>0</v>
      </c>
      <c r="H1496" s="355">
        <f t="shared" si="70"/>
        <v>0</v>
      </c>
      <c r="I1496" s="355">
        <f>H1496+J1496-K1496</f>
        <v>0</v>
      </c>
      <c r="J1496" s="355"/>
      <c r="K1496" s="355"/>
      <c r="L1496" s="367"/>
      <c r="M1496" s="332"/>
      <c r="N1496" s="340"/>
      <c r="O1496" s="341"/>
    </row>
    <row r="1497" spans="1:15" ht="16.2">
      <c r="A1497" s="288"/>
      <c r="B1497" s="351" t="s">
        <v>1202</v>
      </c>
      <c r="C1497" s="388" t="str">
        <f>IF(OR(I1497&lt;&gt;0,H1497&lt;&gt;0),"x"," ")</f>
        <v xml:space="preserve"> </v>
      </c>
      <c r="D1497" s="338"/>
      <c r="E1497" s="358" t="str">
        <f>VLOOKUP($B1497,DG!A:D,DG!$C$2,)</f>
        <v>Nắp bịt đầu cáp ABC50mm2</v>
      </c>
      <c r="F1497" s="594" t="str">
        <f>VLOOKUP($B1497,DG!A:D,DG!$D$2,)</f>
        <v>cái</v>
      </c>
      <c r="G1497" s="595">
        <f>[3]ppht!CZ342</f>
        <v>0</v>
      </c>
      <c r="H1497" s="355">
        <f>G1497</f>
        <v>0</v>
      </c>
      <c r="I1497" s="355">
        <f>H1497+J1497-K1497</f>
        <v>0</v>
      </c>
      <c r="J1497" s="355"/>
      <c r="K1497" s="355"/>
      <c r="L1497" s="367"/>
      <c r="M1497" s="332"/>
      <c r="N1497" s="340"/>
      <c r="O1497" s="341"/>
    </row>
    <row r="1498" spans="1:15" ht="16.2">
      <c r="A1498" s="288"/>
      <c r="B1498" s="351" t="s">
        <v>1203</v>
      </c>
      <c r="C1498" s="388" t="str">
        <f>IF(OR(I1498&lt;&gt;0,H1498&lt;&gt;0),"x"," ")</f>
        <v xml:space="preserve"> </v>
      </c>
      <c r="D1498" s="338"/>
      <c r="E1498" s="358" t="str">
        <f>VLOOKUP($B1498,DG!A:D,DG!$C$2,)</f>
        <v>Nắp bịt đầu cáp 35mm2</v>
      </c>
      <c r="F1498" s="594" t="str">
        <f>VLOOKUP($B1498,DG!A:D,DG!$D$2,)</f>
        <v>cái</v>
      </c>
      <c r="G1498" s="595">
        <f>+[3]ppht!CY342</f>
        <v>0</v>
      </c>
      <c r="H1498" s="355">
        <f t="shared" si="70"/>
        <v>0</v>
      </c>
      <c r="I1498" s="355">
        <f>H1498+J1498-K1498</f>
        <v>0</v>
      </c>
      <c r="J1498" s="355"/>
      <c r="K1498" s="355"/>
      <c r="L1498" s="367"/>
      <c r="M1498" s="332"/>
      <c r="N1498" s="340"/>
      <c r="O1498" s="341"/>
    </row>
    <row r="1499" spans="1:15" ht="16.2">
      <c r="A1499" s="288"/>
      <c r="B1499" s="371" t="s">
        <v>645</v>
      </c>
      <c r="C1499" s="388" t="str">
        <f>IF(OR(I1499&lt;&gt;0,H1499&lt;&gt;0),"x"," ")</f>
        <v xml:space="preserve"> </v>
      </c>
      <c r="D1499" s="338"/>
      <c r="E1499" s="358" t="str">
        <f>VLOOKUP($B1499,DG!A:D,DG!$C$2,)</f>
        <v>Kẹp ép WR cỡ dây 50mm2</v>
      </c>
      <c r="F1499" s="594" t="str">
        <f>VLOOKUP($B1499,DG!A:D,DG!$D$2,)</f>
        <v>cái</v>
      </c>
      <c r="G1499" s="595"/>
      <c r="H1499" s="355">
        <f t="shared" si="70"/>
        <v>0</v>
      </c>
      <c r="I1499" s="355">
        <f>H1499+J1499-K1499</f>
        <v>0</v>
      </c>
      <c r="J1499" s="355"/>
      <c r="K1499" s="355"/>
      <c r="L1499" s="367"/>
      <c r="M1499" s="332"/>
      <c r="N1499" s="340"/>
      <c r="O1499" s="341"/>
    </row>
    <row r="1500" spans="1:15" ht="16.5" customHeight="1">
      <c r="A1500" s="288"/>
      <c r="B1500" s="440" t="s">
        <v>1204</v>
      </c>
      <c r="C1500" s="388" t="str">
        <f>IF(OR(I1500&lt;&gt;0,H1500&lt;&gt;0),"x"," ")</f>
        <v xml:space="preserve"> </v>
      </c>
      <c r="D1500" s="338"/>
      <c r="E1500" s="437" t="str">
        <f>VLOOKUP($B1500,DG!A:D,DG!$C$2,)</f>
        <v>Bộ tiếp địa cố định</v>
      </c>
      <c r="F1500" s="593" t="str">
        <f>VLOOKUP($B1500,DG!A:D,DG!$D$2,)</f>
        <v>bộ</v>
      </c>
      <c r="G1500" s="349">
        <f>[3]ppht!DU342</f>
        <v>0</v>
      </c>
      <c r="H1500" s="349">
        <f>IFERROR(HLOOKUP(B1500,'BKT-ThuHoi'!$5:$183,179,0),0)</f>
        <v>0</v>
      </c>
      <c r="I1500" s="350">
        <f>H1500+J1500-K1500</f>
        <v>0</v>
      </c>
      <c r="J1500" s="350"/>
      <c r="K1500" s="350"/>
      <c r="L1500" s="348"/>
      <c r="M1500" s="332"/>
      <c r="N1500" s="340"/>
      <c r="O1500" s="341"/>
    </row>
    <row r="1501" spans="1:15" ht="16.2">
      <c r="A1501" s="288"/>
      <c r="B1501" s="351" t="s">
        <v>1205</v>
      </c>
      <c r="C1501" s="388" t="str">
        <f>IF(OR(I1501&lt;&gt;0,H1501&lt;&gt;0),"x"," ")</f>
        <v xml:space="preserve"> </v>
      </c>
      <c r="D1501" s="338"/>
      <c r="E1501" s="437" t="str">
        <f>VLOOKUP($B1501,DG!A:D,DG!$C$2,)</f>
        <v>MCCB 3 cực 125A</v>
      </c>
      <c r="F1501" s="593" t="str">
        <f>VLOOKUP($B1501,DG!A:D,DG!$D$2,)</f>
        <v>cái</v>
      </c>
      <c r="G1501" s="349"/>
      <c r="H1501" s="349">
        <f>IFERROR(HLOOKUP(B1501,'BKT-ThuHoi'!$5:$183,179,0),0)</f>
        <v>0</v>
      </c>
      <c r="I1501" s="350">
        <f>H1501+J1501-K1501</f>
        <v>0</v>
      </c>
      <c r="J1501" s="350"/>
      <c r="K1501" s="350"/>
      <c r="L1501" s="348"/>
      <c r="M1501" s="332"/>
      <c r="N1501" s="340"/>
      <c r="O1501" s="341"/>
    </row>
    <row r="1502" spans="1:15" ht="16.2">
      <c r="A1502" s="288"/>
      <c r="B1502" s="351" t="s">
        <v>1206</v>
      </c>
      <c r="C1502" s="388" t="str">
        <f>IF(OR(I1502&lt;&gt;0,H1502&lt;&gt;0),"x"," ")</f>
        <v xml:space="preserve"> </v>
      </c>
      <c r="D1502" s="338"/>
      <c r="E1502" s="437" t="str">
        <f>VLOOKUP($B1502,DG!A:D,DG!$C$2,)</f>
        <v>Cáp đồng bọc CV95</v>
      </c>
      <c r="F1502" s="593" t="str">
        <f>VLOOKUP($B1502,DG!A:D,DG!$D$2,)</f>
        <v>mét</v>
      </c>
      <c r="G1502" s="349"/>
      <c r="H1502" s="349">
        <f>IFERROR(HLOOKUP(B1502,'BKT-ThuHoi'!$5:$183,179,0),0)</f>
        <v>0</v>
      </c>
      <c r="I1502" s="350">
        <f>H1502+J1502-K1502</f>
        <v>0</v>
      </c>
      <c r="J1502" s="350"/>
      <c r="K1502" s="350"/>
      <c r="L1502" s="348"/>
      <c r="M1502" s="332"/>
      <c r="N1502" s="340"/>
      <c r="O1502" s="341"/>
    </row>
    <row r="1503" spans="1:15" ht="16.2">
      <c r="A1503" s="288"/>
      <c r="B1503" s="351" t="s">
        <v>1207</v>
      </c>
      <c r="C1503" s="388" t="str">
        <f>IF(OR(I1503&lt;&gt;0,H1503&lt;&gt;0),"x"," ")</f>
        <v xml:space="preserve"> </v>
      </c>
      <c r="D1503" s="338"/>
      <c r="E1503" s="437" t="str">
        <f>VLOOKUP($B1503,DG!A:D,DG!$C$2,)</f>
        <v>Đầu cosse ép Cu-Al 95mm2</v>
      </c>
      <c r="F1503" s="593" t="str">
        <f>VLOOKUP($B1503,DG!A:D,DG!$D$2,)</f>
        <v>cái</v>
      </c>
      <c r="G1503" s="349"/>
      <c r="H1503" s="349">
        <f>IFERROR(HLOOKUP(B1503,'BKT-ThuHoi'!$5:$183,179,0),0)</f>
        <v>0</v>
      </c>
      <c r="I1503" s="350">
        <f>H1503+J1503-K1503</f>
        <v>0</v>
      </c>
      <c r="J1503" s="350"/>
      <c r="K1503" s="350"/>
      <c r="L1503" s="348"/>
      <c r="M1503" s="332"/>
      <c r="N1503" s="340"/>
      <c r="O1503" s="341"/>
    </row>
    <row r="1504" spans="1:15" ht="16.2">
      <c r="A1504" s="288"/>
      <c r="B1504" s="351" t="s">
        <v>1208</v>
      </c>
      <c r="C1504" s="388" t="str">
        <f>IF(OR(I1504&lt;&gt;0,H1504&lt;&gt;0),"x"," ")</f>
        <v xml:space="preserve"> </v>
      </c>
      <c r="D1504" s="338"/>
      <c r="E1504" s="437" t="str">
        <f>VLOOKUP($B1504,DG!A:D,DG!$C$2,)</f>
        <v>Hộp CB phân đoạn</v>
      </c>
      <c r="F1504" s="593" t="str">
        <f>VLOOKUP($B1504,DG!A:D,DG!$D$2,)</f>
        <v>hộp</v>
      </c>
      <c r="G1504" s="349">
        <f>[3]ppht!DR342</f>
        <v>0</v>
      </c>
      <c r="H1504" s="349">
        <f>IFERROR(HLOOKUP(B1504,'BKT-ThuHoi'!$5:$183,179,0),0)</f>
        <v>0</v>
      </c>
      <c r="I1504" s="350">
        <f>H1504+J1504-K1504</f>
        <v>0</v>
      </c>
      <c r="J1504" s="350"/>
      <c r="K1504" s="350"/>
      <c r="L1504" s="348"/>
      <c r="M1504" s="332"/>
      <c r="N1504" s="340"/>
      <c r="O1504" s="341"/>
    </row>
    <row r="1505" spans="1:15" ht="16.2">
      <c r="A1505" s="288"/>
      <c r="B1505" s="351" t="s">
        <v>1209</v>
      </c>
      <c r="C1505" s="388" t="str">
        <f>IF(OR(I1505&lt;&gt;0,H1505&lt;&gt;0),"x"," ")</f>
        <v xml:space="preserve"> </v>
      </c>
      <c r="D1505" s="338"/>
      <c r="E1505" s="437" t="str">
        <f>VLOOKUP($B1505,DG!A:D,DG!$C$2,)</f>
        <v xml:space="preserve">Ống PVC D90x3,8mm </v>
      </c>
      <c r="F1505" s="593" t="str">
        <f>VLOOKUP($B1505,DG!A:D,DG!$D$2,)</f>
        <v>m</v>
      </c>
      <c r="G1505" s="349"/>
      <c r="H1505" s="349">
        <f>IFERROR(HLOOKUP(B1505,'BKT-ThuHoi'!$5:$183,179,0),0)</f>
        <v>0</v>
      </c>
      <c r="I1505" s="350">
        <f>H1505+J1505-K1505</f>
        <v>0</v>
      </c>
      <c r="J1505" s="350"/>
      <c r="K1505" s="350"/>
      <c r="L1505" s="348"/>
      <c r="M1505" s="332"/>
      <c r="N1505" s="340"/>
      <c r="O1505" s="341"/>
    </row>
    <row r="1506" spans="1:15" ht="16.2">
      <c r="A1506" s="288"/>
      <c r="B1506" s="351" t="s">
        <v>1210</v>
      </c>
      <c r="C1506" s="388" t="str">
        <f>IF(OR(I1506&lt;&gt;0,H1506&lt;&gt;0),"x"," ")</f>
        <v xml:space="preserve"> </v>
      </c>
      <c r="D1506" s="338"/>
      <c r="E1506" s="437" t="str">
        <f>VLOOKUP($B1506,DG!A:D,DG!$C$2,)</f>
        <v>Co  90 độ PVC 90</v>
      </c>
      <c r="F1506" s="593" t="str">
        <f>VLOOKUP($B1506,DG!A:D,DG!$D$2,)</f>
        <v>cái</v>
      </c>
      <c r="G1506" s="349"/>
      <c r="H1506" s="349">
        <f>IFERROR(HLOOKUP(B1506,'BKT-ThuHoi'!$5:$183,179,0),0)</f>
        <v>0</v>
      </c>
      <c r="I1506" s="350">
        <f>H1506+J1506-K1506</f>
        <v>0</v>
      </c>
      <c r="J1506" s="350"/>
      <c r="K1506" s="350"/>
      <c r="L1506" s="348"/>
      <c r="M1506" s="332"/>
      <c r="N1506" s="340"/>
      <c r="O1506" s="341"/>
    </row>
    <row r="1507" spans="1:15" ht="16.2">
      <c r="A1507" s="288"/>
      <c r="B1507" s="351" t="s">
        <v>1211</v>
      </c>
      <c r="C1507" s="388" t="str">
        <f>IF(OR(I1507&lt;&gt;0,H1507&lt;&gt;0),"x"," ")</f>
        <v xml:space="preserve"> </v>
      </c>
      <c r="D1507" s="338"/>
      <c r="E1507" s="437" t="str">
        <f>VLOOKUP($B1507,DG!A:D,DG!$C$2,)</f>
        <v>Cổ dê kẹp ống PVC Ø 90</v>
      </c>
      <c r="F1507" s="593" t="str">
        <f>VLOOKUP($B1507,DG!A:D,DG!$D$2,)</f>
        <v>bộ</v>
      </c>
      <c r="G1507" s="349"/>
      <c r="H1507" s="349">
        <f>IFERROR(HLOOKUP(B1507,'BKT-ThuHoi'!$5:$183,179,0),0)</f>
        <v>0</v>
      </c>
      <c r="I1507" s="350">
        <f>H1507+J1507-K1507</f>
        <v>0</v>
      </c>
      <c r="J1507" s="350"/>
      <c r="K1507" s="350"/>
      <c r="L1507" s="348"/>
      <c r="M1507" s="332"/>
      <c r="N1507" s="340"/>
      <c r="O1507" s="341"/>
    </row>
    <row r="1508" spans="1:15" ht="16.2">
      <c r="A1508" s="288"/>
      <c r="B1508" s="441" t="s">
        <v>1212</v>
      </c>
      <c r="C1508" s="388" t="str">
        <f>IF(OR(I1508&lt;&gt;0,H1508&lt;&gt;0),"x"," ")</f>
        <v xml:space="preserve"> </v>
      </c>
      <c r="D1508" s="338"/>
      <c r="E1508" s="437" t="str">
        <f>VLOOKUP($B1508,DG!A:D,DG!$C$2,)</f>
        <v>Keo silicon bít miệng ống</v>
      </c>
      <c r="F1508" s="593" t="str">
        <f>VLOOKUP($B1508,DG!A:D,DG!$D$2,)</f>
        <v>ống</v>
      </c>
      <c r="G1508" s="349"/>
      <c r="H1508" s="349">
        <f>IFERROR(HLOOKUP(B1508,'BKT-ThuHoi'!$5:$183,179,0),0)</f>
        <v>0</v>
      </c>
      <c r="I1508" s="350">
        <f>H1508+J1508-K1508</f>
        <v>0</v>
      </c>
      <c r="J1508" s="350"/>
      <c r="K1508" s="350"/>
      <c r="L1508" s="348"/>
      <c r="M1508" s="332"/>
      <c r="N1508" s="340"/>
      <c r="O1508" s="341"/>
    </row>
    <row r="1509" spans="1:15" ht="16.2">
      <c r="A1509" s="288"/>
      <c r="B1509" s="441" t="s">
        <v>1213</v>
      </c>
      <c r="C1509" s="388" t="str">
        <f>IF(OR(I1509&lt;&gt;0,H1509&lt;&gt;0),"x"," ")</f>
        <v xml:space="preserve"> </v>
      </c>
      <c r="D1509" s="338"/>
      <c r="E1509" s="437" t="str">
        <f>VLOOKUP($B1509,DG!A:D,DG!$C$2,)</f>
        <v>Keo dán ống PVC (100gr)</v>
      </c>
      <c r="F1509" s="593" t="str">
        <f>VLOOKUP($B1509,DG!A:D,DG!$D$2,)</f>
        <v>tuýp</v>
      </c>
      <c r="G1509" s="349"/>
      <c r="H1509" s="349">
        <f>IFERROR(HLOOKUP(B1509,'BKT-ThuHoi'!$5:$183,179,0),0)</f>
        <v>0</v>
      </c>
      <c r="I1509" s="350">
        <f>H1509+J1509-K1509</f>
        <v>0</v>
      </c>
      <c r="J1509" s="350"/>
      <c r="K1509" s="350"/>
      <c r="L1509" s="348"/>
      <c r="M1509" s="332"/>
      <c r="N1509" s="340"/>
      <c r="O1509" s="341"/>
    </row>
    <row r="1510" spans="1:15" ht="16.2">
      <c r="A1510" s="288"/>
      <c r="B1510" s="351" t="s">
        <v>1214</v>
      </c>
      <c r="C1510" s="388" t="str">
        <f>IF(OR(I1510&lt;&gt;0,H1510&lt;&gt;0),"x"," ")</f>
        <v xml:space="preserve"> </v>
      </c>
      <c r="D1510" s="338"/>
      <c r="E1510" s="358" t="str">
        <f>VLOOKUP($B1510,DG!A:D,DG!$C$2,)</f>
        <v xml:space="preserve">Móc dừng </v>
      </c>
      <c r="F1510" s="594" t="str">
        <f>VLOOKUP($B1510,DG!A:D,DG!$D$2,)</f>
        <v>cái</v>
      </c>
      <c r="G1510" s="595">
        <f>[3]ppht!DM338</f>
        <v>0</v>
      </c>
      <c r="H1510" s="355">
        <f t="shared" si="70"/>
        <v>0</v>
      </c>
      <c r="I1510" s="355">
        <f>H1510+J1510-K1510</f>
        <v>0</v>
      </c>
      <c r="J1510" s="355"/>
      <c r="K1510" s="355"/>
      <c r="L1510" s="367"/>
      <c r="M1510" s="332"/>
      <c r="N1510" s="340"/>
      <c r="O1510" s="341"/>
    </row>
    <row r="1511" spans="1:15" ht="16.2">
      <c r="A1511" s="288"/>
      <c r="B1511" s="351" t="s">
        <v>1215</v>
      </c>
      <c r="C1511" s="388" t="str">
        <f>IF(OR(I1511&lt;&gt;0,H1511&lt;&gt;0),"x"," ")</f>
        <v xml:space="preserve"> </v>
      </c>
      <c r="D1511" s="338"/>
      <c r="E1511" s="358" t="str">
        <f>VLOOKUP($B1511,DG!A:D,DG!$C$2,)</f>
        <v xml:space="preserve">Móc đơn treo cáp </v>
      </c>
      <c r="F1511" s="594" t="str">
        <f>VLOOKUP($B1511,DG!A:D,DG!$D$2,)</f>
        <v>cái</v>
      </c>
      <c r="G1511" s="595"/>
      <c r="H1511" s="355">
        <f t="shared" si="70"/>
        <v>0</v>
      </c>
      <c r="I1511" s="355">
        <f>H1511+J1511-K1511</f>
        <v>0</v>
      </c>
      <c r="J1511" s="355"/>
      <c r="K1511" s="355"/>
      <c r="L1511" s="367"/>
      <c r="M1511" s="332"/>
      <c r="N1511" s="340"/>
      <c r="O1511" s="341"/>
    </row>
    <row r="1512" spans="1:15" ht="16.2">
      <c r="A1512" s="288"/>
      <c r="B1512" s="351" t="s">
        <v>1216</v>
      </c>
      <c r="C1512" s="388" t="str">
        <f>IF(OR(I1512&lt;&gt;0,H1512&lt;&gt;0),"x"," ")</f>
        <v xml:space="preserve"> </v>
      </c>
      <c r="D1512" s="338"/>
      <c r="E1512" s="358" t="str">
        <f>VLOOKUP($B1512,DG!A:D,DG!$C$2,)</f>
        <v>Rack 2 sứ + sứ ống chỉ</v>
      </c>
      <c r="F1512" s="594" t="str">
        <f>VLOOKUP($B1512,DG!A:D,DG!$D$2,)</f>
        <v>bộ</v>
      </c>
      <c r="G1512" s="595">
        <f>[3]ppht!BY338</f>
        <v>0</v>
      </c>
      <c r="H1512" s="355">
        <f t="shared" si="70"/>
        <v>0</v>
      </c>
      <c r="I1512" s="355">
        <f>H1512+J1512-K1512</f>
        <v>0</v>
      </c>
      <c r="J1512" s="355"/>
      <c r="K1512" s="355"/>
      <c r="L1512" s="367"/>
      <c r="M1512" s="332"/>
      <c r="N1512" s="340"/>
      <c r="O1512" s="341"/>
    </row>
    <row r="1513" spans="1:15" ht="16.2">
      <c r="A1513" s="288"/>
      <c r="B1513" s="351" t="s">
        <v>1217</v>
      </c>
      <c r="C1513" s="388" t="str">
        <f>IF(OR(I1513&lt;&gt;0,H1513&lt;&gt;0),"x"," ")</f>
        <v xml:space="preserve"> </v>
      </c>
      <c r="D1513" s="338"/>
      <c r="E1513" s="358" t="str">
        <f>VLOOKUP($B1513,DG!A:D,DG!$C$2,)</f>
        <v>Rack 3 sứ + sứ ống chỉ</v>
      </c>
      <c r="F1513" s="594" t="str">
        <f>VLOOKUP($B1513,DG!A:D,DG!$D$2,)</f>
        <v>bộ</v>
      </c>
      <c r="G1513" s="595">
        <f>[3]ppht!BZ338</f>
        <v>0</v>
      </c>
      <c r="H1513" s="355">
        <f t="shared" si="70"/>
        <v>0</v>
      </c>
      <c r="I1513" s="355">
        <f>H1513+J1513-K1513</f>
        <v>0</v>
      </c>
      <c r="J1513" s="355"/>
      <c r="K1513" s="355"/>
      <c r="L1513" s="367"/>
      <c r="M1513" s="332"/>
      <c r="N1513" s="340"/>
      <c r="O1513" s="341"/>
    </row>
    <row r="1514" spans="1:15" ht="16.2">
      <c r="A1514" s="288"/>
      <c r="B1514" s="351" t="s">
        <v>1218</v>
      </c>
      <c r="C1514" s="388" t="str">
        <f>IF(OR(I1514&lt;&gt;0,H1514&lt;&gt;0),"x"," ")</f>
        <v xml:space="preserve"> </v>
      </c>
      <c r="D1514" s="338"/>
      <c r="E1514" s="358" t="str">
        <f>VLOOKUP($B1514,DG!A:D,DG!$C$2,)</f>
        <v>Rack 4 sứ + sứ ống chỉ</v>
      </c>
      <c r="F1514" s="594" t="str">
        <f>VLOOKUP($B1514,DG!A:D,DG!$D$2,)</f>
        <v>bộ</v>
      </c>
      <c r="G1514" s="595">
        <f>[3]ppht!CA338</f>
        <v>0</v>
      </c>
      <c r="H1514" s="355">
        <f t="shared" si="70"/>
        <v>0</v>
      </c>
      <c r="I1514" s="355">
        <f>H1514+J1514-K1514</f>
        <v>0</v>
      </c>
      <c r="J1514" s="355"/>
      <c r="K1514" s="355"/>
      <c r="L1514" s="367"/>
      <c r="M1514" s="332"/>
      <c r="N1514" s="340"/>
      <c r="O1514" s="341"/>
    </row>
    <row r="1515" spans="1:15" ht="16.2">
      <c r="A1515" s="288"/>
      <c r="B1515" s="351" t="s">
        <v>1219</v>
      </c>
      <c r="C1515" s="388" t="str">
        <f>IF(OR(I1515&lt;&gt;0,H1515&lt;&gt;0),"x"," ")</f>
        <v xml:space="preserve"> </v>
      </c>
      <c r="D1515" s="338" t="str">
        <f>VLOOKUP($B1515,DG!A:D,DG!$B$2,)</f>
        <v>05.1101</v>
      </c>
      <c r="E1515" s="366" t="str">
        <f>VLOOKUP($B1515,DG!A:D,DG!$C$2,)</f>
        <v>Tủ phân phối hạ thế</v>
      </c>
      <c r="F1515" s="594" t="str">
        <f>VLOOKUP($B1515,DG!A:D,DG!$D$2,)</f>
        <v>cái</v>
      </c>
      <c r="G1515" s="595"/>
      <c r="H1515" s="355">
        <f t="shared" si="70"/>
        <v>0</v>
      </c>
      <c r="I1515" s="355">
        <f>H1515+J1515-K1515</f>
        <v>0</v>
      </c>
      <c r="J1515" s="355"/>
      <c r="K1515" s="355"/>
      <c r="L1515" s="367"/>
      <c r="M1515" s="332"/>
      <c r="N1515" s="340"/>
      <c r="O1515" s="341"/>
    </row>
    <row r="1516" spans="1:15" ht="16.2">
      <c r="A1516" s="288"/>
      <c r="B1516" s="351" t="s">
        <v>1220</v>
      </c>
      <c r="C1516" s="388" t="str">
        <f>IF(OR(I1516&lt;&gt;0,H1516&lt;&gt;0),"x"," ")</f>
        <v xml:space="preserve"> </v>
      </c>
      <c r="D1516" s="338" t="str">
        <f>VLOOKUP($B1516,DG!A:D,DG!$B$2,)</f>
        <v>07.2404</v>
      </c>
      <c r="E1516" s="366" t="str">
        <f>VLOOKUP($B1516,DG!A:D,DG!$C$2,)&amp;": 6m/tuû"</f>
        <v>Ống PVC D60x2,8mm: 6m/tuû</v>
      </c>
      <c r="F1516" s="594" t="str">
        <f>VLOOKUP($B1516,DG!A:D,DG!$D$2,)</f>
        <v>m</v>
      </c>
      <c r="G1516" s="595"/>
      <c r="H1516" s="355">
        <f t="shared" si="70"/>
        <v>0</v>
      </c>
      <c r="I1516" s="355">
        <f>H1516+J1516-K1516</f>
        <v>0</v>
      </c>
      <c r="J1516" s="355"/>
      <c r="K1516" s="355"/>
      <c r="L1516" s="367"/>
      <c r="M1516" s="332"/>
      <c r="N1516" s="340"/>
      <c r="O1516" s="341"/>
    </row>
    <row r="1517" spans="1:15" ht="16.2">
      <c r="A1517" s="288"/>
      <c r="B1517" s="351" t="s">
        <v>1221</v>
      </c>
      <c r="C1517" s="388" t="str">
        <f>IF(OR(I1517&lt;&gt;0,H1517&lt;&gt;0),"x"," ")</f>
        <v xml:space="preserve"> </v>
      </c>
      <c r="D1517" s="338" t="str">
        <f>VLOOKUP($B1517,DG!A:D,DG!$B$2,)</f>
        <v>06.3231</v>
      </c>
      <c r="E1517" s="366" t="str">
        <f>VLOOKUP($B1517,DG!A:D,DG!$C$2,)</f>
        <v>Cổ dê kẹp ống PVC Ø 60</v>
      </c>
      <c r="F1517" s="594" t="str">
        <f>VLOOKUP($B1517,DG!A:D,DG!$D$2,)</f>
        <v>bộ</v>
      </c>
      <c r="G1517" s="595"/>
      <c r="H1517" s="355">
        <f t="shared" si="70"/>
        <v>0</v>
      </c>
      <c r="I1517" s="355">
        <f>H1517+J1517-K1517</f>
        <v>0</v>
      </c>
      <c r="J1517" s="355"/>
      <c r="K1517" s="355"/>
      <c r="L1517" s="367"/>
      <c r="M1517" s="332"/>
      <c r="N1517" s="340"/>
      <c r="O1517" s="341"/>
    </row>
    <row r="1518" spans="1:15" ht="16.2">
      <c r="A1518" s="288"/>
      <c r="B1518" s="351" t="s">
        <v>1222</v>
      </c>
      <c r="C1518" s="388" t="str">
        <f>IF(OR(I1518&lt;&gt;0,H1518&lt;&gt;0),"x"," ")</f>
        <v xml:space="preserve"> </v>
      </c>
      <c r="D1518" s="338"/>
      <c r="E1518" s="366" t="str">
        <f>VLOOKUP($B1518,DG!A:D,DG!$C$2,)&amp;": 3 caùi / tuû"</f>
        <v>Co 90 độ PVC 60: 3 caùi / tuû</v>
      </c>
      <c r="F1518" s="594" t="str">
        <f>VLOOKUP($B1518,DG!A:D,DG!$D$2,)</f>
        <v>cái</v>
      </c>
      <c r="G1518" s="595"/>
      <c r="H1518" s="355">
        <f t="shared" si="70"/>
        <v>0</v>
      </c>
      <c r="I1518" s="355">
        <f>H1518+J1518-K1518</f>
        <v>0</v>
      </c>
      <c r="J1518" s="355"/>
      <c r="K1518" s="355"/>
      <c r="L1518" s="367"/>
      <c r="M1518" s="332"/>
      <c r="N1518" s="340"/>
      <c r="O1518" s="341"/>
    </row>
    <row r="1519" spans="1:15" ht="16.2">
      <c r="A1519" s="288"/>
      <c r="B1519" s="351" t="s">
        <v>1223</v>
      </c>
      <c r="C1519" s="388" t="str">
        <f>IF(OR(I1519&lt;&gt;0,H1519&lt;&gt;0),"x"," ")</f>
        <v xml:space="preserve"> </v>
      </c>
      <c r="D1519" s="338"/>
      <c r="E1519" s="366" t="str">
        <f>VLOOKUP($B1519,DG!A:D,DG!$C$2,)&amp;": 6 caùi / tuû"</f>
        <v>Co 90 độ PVC 42: 6 caùi / tuû</v>
      </c>
      <c r="F1519" s="594" t="str">
        <f>VLOOKUP($B1519,DG!A:D,DG!$D$2,)</f>
        <v>cái</v>
      </c>
      <c r="G1519" s="595"/>
      <c r="H1519" s="355">
        <f t="shared" si="70"/>
        <v>0</v>
      </c>
      <c r="I1519" s="355">
        <f>H1519+J1519-K1519</f>
        <v>0</v>
      </c>
      <c r="J1519" s="355"/>
      <c r="K1519" s="355"/>
      <c r="L1519" s="367"/>
      <c r="M1519" s="332"/>
      <c r="N1519" s="340"/>
      <c r="O1519" s="341"/>
    </row>
    <row r="1520" spans="1:15" ht="16.2">
      <c r="A1520" s="288"/>
      <c r="B1520" s="351" t="s">
        <v>1224</v>
      </c>
      <c r="C1520" s="388" t="str">
        <f>IF(OR(I1520&lt;&gt;0,H1520&lt;&gt;0),"x"," ")</f>
        <v xml:space="preserve"> </v>
      </c>
      <c r="D1520" s="363">
        <f>VLOOKUP($B1520,DG!A:D,DG!$B$2,)</f>
        <v>0</v>
      </c>
      <c r="E1520" s="366" t="str">
        <f>VLOOKUP($B1520,DG!A:D,DG!$C$2,)&amp;": 8m töø CB ñaáu noái leân löôùi"</f>
        <v>Cáp nhôm ABC 4x150mm2: 8m töø CB ñaáu noái leân löôùi</v>
      </c>
      <c r="F1520" s="594" t="str">
        <f>VLOOKUP($B1520,DG!A:D,DG!$D$2,)</f>
        <v>mét</v>
      </c>
      <c r="G1520" s="595"/>
      <c r="H1520" s="355">
        <f t="shared" si="70"/>
        <v>0</v>
      </c>
      <c r="I1520" s="355">
        <f>H1520+J1520-K1520</f>
        <v>0</v>
      </c>
      <c r="J1520" s="355"/>
      <c r="K1520" s="355"/>
      <c r="L1520" s="367"/>
      <c r="M1520" s="332"/>
      <c r="N1520" s="340"/>
      <c r="O1520" s="341"/>
    </row>
    <row r="1521" spans="1:15" ht="16.2">
      <c r="A1521" s="288"/>
      <c r="B1521" s="351" t="s">
        <v>1225</v>
      </c>
      <c r="C1521" s="388" t="str">
        <f>IF(OR(I1521&lt;&gt;0,H1521&lt;&gt;0),"x"," ")</f>
        <v xml:space="preserve"> </v>
      </c>
      <c r="D1521" s="363">
        <f>VLOOKUP($B1521,DG!A:D,DG!$B$2,)</f>
        <v>0</v>
      </c>
      <c r="E1521" s="366" t="str">
        <f>VLOOKUP($B1521,DG!A:D,DG!$C$2,)</f>
        <v xml:space="preserve">Ống PVC D114x4,9mm </v>
      </c>
      <c r="F1521" s="594" t="str">
        <f>VLOOKUP($B1521,DG!A:D,DG!$D$2,)</f>
        <v>m</v>
      </c>
      <c r="G1521" s="595"/>
      <c r="H1521" s="355">
        <f t="shared" si="70"/>
        <v>0</v>
      </c>
      <c r="I1521" s="355">
        <f>H1521+J1521-K1521</f>
        <v>0</v>
      </c>
      <c r="J1521" s="355"/>
      <c r="K1521" s="355"/>
      <c r="L1521" s="367"/>
      <c r="M1521" s="332"/>
      <c r="N1521" s="340"/>
      <c r="O1521" s="341"/>
    </row>
    <row r="1522" spans="1:15" ht="16.2">
      <c r="A1522" s="288"/>
      <c r="B1522" s="351" t="s">
        <v>1226</v>
      </c>
      <c r="C1522" s="388" t="str">
        <f>IF(OR(I1522&lt;&gt;0,H1522&lt;&gt;0),"x"," ")</f>
        <v xml:space="preserve"> </v>
      </c>
      <c r="D1522" s="363">
        <f>VLOOKUP($B1522,DG!A:D,DG!$B$2,)</f>
        <v>0</v>
      </c>
      <c r="E1522" s="366" t="str">
        <f>VLOOKUP($B1522,DG!A:D,DG!$C$2,)</f>
        <v>Co  90 độ PVC 114</v>
      </c>
      <c r="F1522" s="594" t="str">
        <f>VLOOKUP($B1522,DG!A:D,DG!$D$2,)</f>
        <v>cái</v>
      </c>
      <c r="G1522" s="595"/>
      <c r="H1522" s="355">
        <f t="shared" si="70"/>
        <v>0</v>
      </c>
      <c r="I1522" s="355">
        <f>H1522+J1522-K1522</f>
        <v>0</v>
      </c>
      <c r="J1522" s="355"/>
      <c r="K1522" s="355"/>
      <c r="L1522" s="367"/>
      <c r="M1522" s="332"/>
      <c r="N1522" s="340"/>
      <c r="O1522" s="341"/>
    </row>
    <row r="1523" spans="1:15" ht="16.2">
      <c r="A1523" s="288"/>
      <c r="B1523" s="351" t="s">
        <v>1227</v>
      </c>
      <c r="C1523" s="388" t="str">
        <f>IF(OR(I1523&lt;&gt;0,H1523&lt;&gt;0),"x"," ")</f>
        <v xml:space="preserve"> </v>
      </c>
      <c r="D1523" s="363" t="str">
        <f>VLOOKUP($B1523,DG!A:D,DG!$B$2,)</f>
        <v>06.3231</v>
      </c>
      <c r="E1523" s="366" t="str">
        <f>VLOOKUP($B1523,DG!A:D,DG!$C$2,)</f>
        <v>Cổ dê kẹp ống PVC Ø 114</v>
      </c>
      <c r="F1523" s="594" t="str">
        <f>VLOOKUP($B1523,DG!A:D,DG!$D$2,)</f>
        <v>bộ</v>
      </c>
      <c r="G1523" s="595"/>
      <c r="H1523" s="355">
        <f t="shared" si="70"/>
        <v>0</v>
      </c>
      <c r="I1523" s="355">
        <f>H1523+J1523-K1523</f>
        <v>0</v>
      </c>
      <c r="J1523" s="355"/>
      <c r="K1523" s="355"/>
      <c r="L1523" s="367"/>
      <c r="M1523" s="332"/>
      <c r="N1523" s="340"/>
      <c r="O1523" s="341"/>
    </row>
    <row r="1524" spans="1:15" ht="16.2">
      <c r="A1524" s="288"/>
      <c r="B1524" s="351" t="s">
        <v>708</v>
      </c>
      <c r="C1524" s="388" t="str">
        <f>IF(OR(I1524&lt;&gt;0,H1524&lt;&gt;0),"x"," ")</f>
        <v xml:space="preserve"> </v>
      </c>
      <c r="D1524" s="338"/>
      <c r="E1524" s="358" t="str">
        <f>VLOOKUP($B1524,DG!A:D,DG!$C$2,)</f>
        <v>Boulon 16x50</v>
      </c>
      <c r="F1524" s="594" t="str">
        <f>VLOOKUP($B1524,DG!A:D,DG!$D$2,)</f>
        <v>bộ</v>
      </c>
      <c r="G1524" s="595"/>
      <c r="H1524" s="355">
        <f t="shared" si="70"/>
        <v>0</v>
      </c>
      <c r="I1524" s="355">
        <f>H1524+J1524-K1524</f>
        <v>0</v>
      </c>
      <c r="J1524" s="355"/>
      <c r="K1524" s="355"/>
      <c r="L1524" s="367"/>
      <c r="M1524" s="332"/>
      <c r="N1524" s="340"/>
      <c r="O1524" s="341"/>
    </row>
    <row r="1525" spans="1:15" ht="16.2">
      <c r="A1525" s="288"/>
      <c r="B1525" s="351" t="s">
        <v>753</v>
      </c>
      <c r="C1525" s="388" t="str">
        <f>IF(OR(I1525&lt;&gt;0,H1525&lt;&gt;0),"x"," ")</f>
        <v xml:space="preserve"> </v>
      </c>
      <c r="D1525" s="338"/>
      <c r="E1525" s="358" t="str">
        <f>VLOOKUP($B1525,DG!A:D,DG!$C$2,)</f>
        <v>Boulon 16x400</v>
      </c>
      <c r="F1525" s="594" t="str">
        <f>VLOOKUP($B1525,DG!A:D,DG!$D$2,)</f>
        <v>bộ</v>
      </c>
      <c r="G1525" s="595">
        <f>[3]ppht!CB338</f>
        <v>0</v>
      </c>
      <c r="H1525" s="355">
        <f t="shared" si="70"/>
        <v>0</v>
      </c>
      <c r="I1525" s="355">
        <f>H1525+J1525-K1525</f>
        <v>0</v>
      </c>
      <c r="J1525" s="355"/>
      <c r="K1525" s="355"/>
      <c r="L1525" s="367"/>
      <c r="M1525" s="332"/>
      <c r="N1525" s="340"/>
      <c r="O1525" s="341"/>
    </row>
    <row r="1526" spans="1:15" ht="16.2">
      <c r="A1526" s="288"/>
      <c r="B1526" s="351" t="s">
        <v>738</v>
      </c>
      <c r="C1526" s="388" t="str">
        <f>IF(OR(I1526&lt;&gt;0,H1526&lt;&gt;0),"x"," ")</f>
        <v xml:space="preserve"> </v>
      </c>
      <c r="D1526" s="338"/>
      <c r="E1526" s="358" t="str">
        <f>VLOOKUP($B1526,DG!A:D,DG!$C$2,)</f>
        <v>Boulon 16x600</v>
      </c>
      <c r="F1526" s="594" t="str">
        <f>VLOOKUP($B1526,DG!A:D,DG!$D$2,)</f>
        <v>bộ</v>
      </c>
      <c r="G1526" s="595">
        <f>[3]ppht!CC338</f>
        <v>0</v>
      </c>
      <c r="H1526" s="355">
        <f t="shared" si="70"/>
        <v>0</v>
      </c>
      <c r="I1526" s="355">
        <f>H1526+J1526-K1526</f>
        <v>0</v>
      </c>
      <c r="J1526" s="355"/>
      <c r="K1526" s="355"/>
      <c r="L1526" s="367"/>
      <c r="M1526" s="332"/>
      <c r="N1526" s="340"/>
      <c r="O1526" s="341"/>
    </row>
    <row r="1527" spans="1:15" ht="16.2">
      <c r="A1527" s="288"/>
      <c r="B1527" s="351" t="s">
        <v>809</v>
      </c>
      <c r="C1527" s="388" t="str">
        <f>IF(OR(I1527&lt;&gt;0,H1527&lt;&gt;0),"x"," ")</f>
        <v xml:space="preserve"> </v>
      </c>
      <c r="D1527" s="338"/>
      <c r="E1527" s="358" t="str">
        <f>VLOOKUP($B1527,DG!A:D,DG!$C$2,)</f>
        <v>Boulon 16x350</v>
      </c>
      <c r="F1527" s="594" t="str">
        <f>VLOOKUP($B1527,DG!A:D,DG!$D$2,)</f>
        <v>bộ</v>
      </c>
      <c r="G1527" s="595">
        <f>[3]ppht!CD338</f>
        <v>0</v>
      </c>
      <c r="H1527" s="355">
        <f t="shared" si="70"/>
        <v>0</v>
      </c>
      <c r="I1527" s="355">
        <f>H1527+J1527-K1527</f>
        <v>0</v>
      </c>
      <c r="J1527" s="355"/>
      <c r="K1527" s="355"/>
      <c r="L1527" s="367"/>
      <c r="M1527" s="332"/>
      <c r="N1527" s="340"/>
      <c r="O1527" s="341"/>
    </row>
    <row r="1528" spans="1:15" ht="16.2">
      <c r="A1528" s="288"/>
      <c r="B1528" s="351" t="s">
        <v>1228</v>
      </c>
      <c r="C1528" s="388" t="str">
        <f>IF(OR(I1528&lt;&gt;0,H1528&lt;&gt;0),"x"," ")</f>
        <v xml:space="preserve"> </v>
      </c>
      <c r="D1528" s="338"/>
      <c r="E1528" s="358" t="str">
        <f>VLOOKUP($B1528,DG!A:D,DG!$C$2,)</f>
        <v>Boulon móc 16x250</v>
      </c>
      <c r="F1528" s="594" t="str">
        <f>VLOOKUP($B1528,DG!A:D,DG!$D$2,)</f>
        <v>bộ</v>
      </c>
      <c r="G1528" s="595">
        <f>[3]ppht!CE338</f>
        <v>0</v>
      </c>
      <c r="H1528" s="355">
        <f>G1528</f>
        <v>0</v>
      </c>
      <c r="I1528" s="355">
        <f>H1528+J1528-K1528</f>
        <v>0</v>
      </c>
      <c r="J1528" s="355"/>
      <c r="K1528" s="355"/>
      <c r="L1528" s="367"/>
      <c r="M1528" s="332"/>
      <c r="N1528" s="340"/>
      <c r="O1528" s="341"/>
    </row>
    <row r="1529" spans="1:15" ht="16.2">
      <c r="A1529" s="288"/>
      <c r="B1529" s="351" t="s">
        <v>1229</v>
      </c>
      <c r="C1529" s="388" t="str">
        <f>IF(OR(I1529&lt;&gt;0,H1529&lt;&gt;0),"x"," ")</f>
        <v xml:space="preserve"> </v>
      </c>
      <c r="D1529" s="338"/>
      <c r="E1529" s="358" t="str">
        <f>VLOOKUP($B1529,DG!A:D,DG!$C$2,)</f>
        <v>Boulon móc 16x300</v>
      </c>
      <c r="F1529" s="594" t="str">
        <f>VLOOKUP($B1529,DG!A:D,DG!$D$2,)</f>
        <v>bộ</v>
      </c>
      <c r="G1529" s="595">
        <f>[3]ppht!CF338</f>
        <v>0</v>
      </c>
      <c r="H1529" s="355">
        <f t="shared" si="70"/>
        <v>0</v>
      </c>
      <c r="I1529" s="355">
        <f>H1529+J1529-K1529</f>
        <v>0</v>
      </c>
      <c r="J1529" s="355"/>
      <c r="K1529" s="355"/>
      <c r="L1529" s="367"/>
      <c r="M1529" s="332"/>
      <c r="N1529" s="340"/>
      <c r="O1529" s="341"/>
    </row>
    <row r="1530" spans="1:15" ht="16.2">
      <c r="A1530" s="288"/>
      <c r="B1530" s="351" t="s">
        <v>1117</v>
      </c>
      <c r="C1530" s="388" t="str">
        <f>IF(OR(I1530&lt;&gt;0,H1530&lt;&gt;0),"x"," ")</f>
        <v xml:space="preserve"> </v>
      </c>
      <c r="D1530" s="338"/>
      <c r="E1530" s="358" t="str">
        <f>VLOOKUP($B1530,DG!A:D,DG!$C$2,)&amp;" bắt trụ đôi"</f>
        <v>Boulon 16x500VRS+ 4 long đền vuông D18-50x50x3/Zn bắt trụ đôi</v>
      </c>
      <c r="F1530" s="594" t="str">
        <f>VLOOKUP($B1530,DG!A:D,DG!$D$2,)</f>
        <v>bộ</v>
      </c>
      <c r="G1530" s="595">
        <f>+[3]ppht!AD342*2*0</f>
        <v>0</v>
      </c>
      <c r="H1530" s="355">
        <f>G1530</f>
        <v>0</v>
      </c>
      <c r="I1530" s="355">
        <f>H1530+J1530-K1530</f>
        <v>0</v>
      </c>
      <c r="J1530" s="355"/>
      <c r="K1530" s="355"/>
      <c r="L1530" s="367"/>
      <c r="M1530" s="332"/>
      <c r="N1530" s="340"/>
      <c r="O1530" s="341"/>
    </row>
    <row r="1531" spans="1:15" ht="16.2">
      <c r="A1531" s="288"/>
      <c r="B1531" s="351" t="s">
        <v>1230</v>
      </c>
      <c r="C1531" s="388" t="str">
        <f>IF(OR(I1531&lt;&gt;0,H1531&lt;&gt;0),"x"," ")</f>
        <v xml:space="preserve"> </v>
      </c>
      <c r="D1531" s="338"/>
      <c r="E1531" s="358" t="str">
        <f>VLOOKUP($B1531,DG!A:D,DG!$C$2,)&amp;" (Coå deâ 310)"</f>
        <v>Cổ dê trụ đôi 8,4m bắt móc dừng  (Coå deâ 310)</v>
      </c>
      <c r="F1531" s="594" t="str">
        <f>VLOOKUP($B1531,DG!A:D,DG!$D$2,)</f>
        <v>bộ</v>
      </c>
      <c r="G1531" s="595">
        <f>[3]ppht!DL338</f>
        <v>0</v>
      </c>
      <c r="H1531" s="355">
        <f t="shared" si="70"/>
        <v>0</v>
      </c>
      <c r="I1531" s="355">
        <f>H1531+J1531-K1531</f>
        <v>0</v>
      </c>
      <c r="J1531" s="355"/>
      <c r="K1531" s="355"/>
      <c r="L1531" s="367"/>
      <c r="M1531" s="332"/>
      <c r="N1531" s="340"/>
      <c r="O1531" s="341"/>
    </row>
    <row r="1532" spans="1:15" ht="16.2">
      <c r="A1532" s="288"/>
      <c r="B1532" s="351" t="s">
        <v>1155</v>
      </c>
      <c r="C1532" s="388" t="str">
        <f>IF(OR(I1532&lt;&gt;0,H1532&lt;&gt;0),"x"," ")</f>
        <v xml:space="preserve"> </v>
      </c>
      <c r="D1532" s="338"/>
      <c r="E1532" s="358" t="str">
        <f>VLOOKUP($B1532,DG!A:D,DG!$C$2,)</f>
        <v>Cáp thép 3/8"</v>
      </c>
      <c r="F1532" s="594" t="str">
        <f>VLOOKUP($B1532,DG!A:D,DG!$D$2,)</f>
        <v>kg</v>
      </c>
      <c r="G1532" s="595">
        <f>[3]ppht!BF338</f>
        <v>0</v>
      </c>
      <c r="H1532" s="355">
        <f t="shared" si="70"/>
        <v>0</v>
      </c>
      <c r="I1532" s="355">
        <f>H1532+J1532-K1532</f>
        <v>0</v>
      </c>
      <c r="J1532" s="355"/>
      <c r="K1532" s="355"/>
      <c r="L1532" s="367"/>
      <c r="M1532" s="332"/>
      <c r="N1532" s="340"/>
      <c r="O1532" s="341"/>
    </row>
    <row r="1533" spans="1:15" ht="16.2">
      <c r="A1533" s="288"/>
      <c r="B1533" s="351" t="s">
        <v>1016</v>
      </c>
      <c r="C1533" s="388" t="str">
        <f>IF(OR(I1533&lt;&gt;0,H1533&lt;&gt;0),"x"," ")</f>
        <v xml:space="preserve"> </v>
      </c>
      <c r="D1533" s="338"/>
      <c r="E1533" s="358" t="str">
        <f>VLOOKUP($B1533,DG!A:D,DG!$C$2,)</f>
        <v>Ống nối dây cỡ 50mm2</v>
      </c>
      <c r="F1533" s="594" t="str">
        <f>VLOOKUP($B1533,DG!A:D,DG!$D$2,)</f>
        <v>cái</v>
      </c>
      <c r="G1533" s="595">
        <f>ROUND(G1452/2000+G1453/0.195/1500,0)</f>
        <v>0</v>
      </c>
      <c r="H1533" s="355">
        <f t="shared" si="70"/>
        <v>0</v>
      </c>
      <c r="I1533" s="355">
        <f>H1533+J1533-K1533</f>
        <v>0</v>
      </c>
      <c r="J1533" s="355"/>
      <c r="K1533" s="355"/>
      <c r="L1533" s="367"/>
      <c r="M1533" s="332"/>
      <c r="N1533" s="340"/>
      <c r="O1533" s="341"/>
    </row>
    <row r="1534" spans="1:15" ht="16.2">
      <c r="A1534" s="288"/>
      <c r="B1534" s="351" t="s">
        <v>1017</v>
      </c>
      <c r="C1534" s="388" t="str">
        <f>IF(OR(I1534&lt;&gt;0,H1534&lt;&gt;0),"x"," ")</f>
        <v xml:space="preserve"> </v>
      </c>
      <c r="D1534" s="338"/>
      <c r="E1534" s="358" t="str">
        <f>VLOOKUP($B1534,DG!A:D,DG!$C$2,)</f>
        <v>Ống nối dây cỡ 70mm2</v>
      </c>
      <c r="F1534" s="594" t="str">
        <f>VLOOKUP($B1534,DG!A:D,DG!$D$2,)</f>
        <v>cái</v>
      </c>
      <c r="G1534" s="595">
        <f>ROUND(G1451/2000,0)</f>
        <v>0</v>
      </c>
      <c r="H1534" s="355">
        <f t="shared" si="70"/>
        <v>0</v>
      </c>
      <c r="I1534" s="355">
        <f>H1534+J1534-K1534</f>
        <v>0</v>
      </c>
      <c r="J1534" s="355"/>
      <c r="K1534" s="355"/>
      <c r="L1534" s="367"/>
      <c r="M1534" s="332"/>
      <c r="N1534" s="340"/>
      <c r="O1534" s="341"/>
    </row>
    <row r="1535" spans="1:15" ht="16.2">
      <c r="A1535" s="288"/>
      <c r="B1535" s="351" t="s">
        <v>1024</v>
      </c>
      <c r="C1535" s="388" t="str">
        <f>IF(OR(I1535&lt;&gt;0,H1535&lt;&gt;0),"x"," ")</f>
        <v xml:space="preserve"> </v>
      </c>
      <c r="D1535" s="338"/>
      <c r="E1535" s="358" t="str">
        <f>VLOOKUP($B1535,DG!A:D,DG!$C$2,)</f>
        <v>Biển số - Bảng nguy hiểm</v>
      </c>
      <c r="F1535" s="594" t="str">
        <f>VLOOKUP($B1535,DG!A:D,DG!$D$2,)</f>
        <v>cái</v>
      </c>
      <c r="G1535" s="595"/>
      <c r="H1535" s="355">
        <f t="shared" si="70"/>
        <v>0</v>
      </c>
      <c r="I1535" s="355">
        <f>H1535+J1535-K1535</f>
        <v>0</v>
      </c>
      <c r="J1535" s="355"/>
      <c r="K1535" s="355"/>
      <c r="L1535" s="367"/>
      <c r="M1535" s="332"/>
      <c r="N1535" s="340"/>
      <c r="O1535" s="341"/>
    </row>
    <row r="1536" spans="1:15" ht="16.2">
      <c r="A1536" s="288"/>
      <c r="B1536" s="351" t="s">
        <v>1023</v>
      </c>
      <c r="C1536" s="388" t="str">
        <f>IF(OR(I1536&lt;&gt;0,H1536&lt;&gt;0),"x"," ")</f>
        <v xml:space="preserve"> </v>
      </c>
      <c r="D1536" s="338"/>
      <c r="E1536" s="358" t="str">
        <f>VLOOKUP($B1536,DG!A:D,DG!$C$2,)</f>
        <v xml:space="preserve">Dây nhôm buộc </v>
      </c>
      <c r="F1536" s="594" t="str">
        <f>VLOOKUP($B1536,DG!A:D,DG!$D$2,)</f>
        <v>kg</v>
      </c>
      <c r="G1536" s="595">
        <f>SUM(G1539:G1541)*5/1.4</f>
        <v>0</v>
      </c>
      <c r="H1536" s="355">
        <f t="shared" si="70"/>
        <v>0</v>
      </c>
      <c r="I1536" s="355">
        <f>H1536+J1536-K1536</f>
        <v>0</v>
      </c>
      <c r="J1536" s="355"/>
      <c r="K1536" s="355"/>
      <c r="L1536" s="367"/>
      <c r="M1536" s="332"/>
      <c r="N1536" s="340"/>
      <c r="O1536" s="341"/>
    </row>
    <row r="1537" spans="1:15" ht="16.2">
      <c r="A1537" s="288"/>
      <c r="B1537" s="442" t="s">
        <v>1231</v>
      </c>
      <c r="C1537" s="388" t="str">
        <f>IF(OR(I1537&lt;&gt;0,H1537&lt;&gt;0),"x"," ")</f>
        <v xml:space="preserve"> </v>
      </c>
      <c r="D1537" s="338"/>
      <c r="E1537" s="358" t="str">
        <f>VLOOKUP($B1537,DG!A:D,DG!$C$2,)</f>
        <v>Băng keo cách điện</v>
      </c>
      <c r="F1537" s="594" t="str">
        <f>VLOOKUP($B1537,DG!A:D,DG!$D$2,)</f>
        <v>cuộn</v>
      </c>
      <c r="G1537" s="595"/>
      <c r="H1537" s="355">
        <f>G1537</f>
        <v>0</v>
      </c>
      <c r="I1537" s="355">
        <f>H1537+J1537-K1537</f>
        <v>0</v>
      </c>
      <c r="J1537" s="355"/>
      <c r="K1537" s="355"/>
      <c r="L1537" s="367"/>
      <c r="M1537" s="332"/>
      <c r="N1537" s="340"/>
      <c r="O1537" s="341"/>
    </row>
    <row r="1538" spans="1:15" ht="16.2">
      <c r="A1538" s="288"/>
      <c r="B1538" s="351" t="s">
        <v>1232</v>
      </c>
      <c r="C1538" s="388" t="str">
        <f>IF(OR(I1538&lt;&gt;0,H1538&lt;&gt;0),"x"," ")</f>
        <v xml:space="preserve"> </v>
      </c>
      <c r="D1538" s="338"/>
      <c r="E1538" s="358" t="str">
        <f>VLOOKUP($B1538,DG!A:D,DG!$C$2,)</f>
        <v>Tủ điện kế 1 pha</v>
      </c>
      <c r="F1538" s="594" t="str">
        <f>VLOOKUP($B1538,DG!A:D,DG!$D$2,)</f>
        <v>cái</v>
      </c>
      <c r="G1538" s="595"/>
      <c r="H1538" s="355">
        <f t="shared" si="70"/>
        <v>0</v>
      </c>
      <c r="I1538" s="355">
        <f>H1538+J1538-K1538</f>
        <v>0</v>
      </c>
      <c r="J1538" s="355"/>
      <c r="K1538" s="355"/>
      <c r="L1538" s="367"/>
      <c r="M1538" s="332"/>
      <c r="N1538" s="340"/>
      <c r="O1538" s="341"/>
    </row>
    <row r="1539" spans="1:15" ht="16.2">
      <c r="A1539" s="288"/>
      <c r="B1539" s="351" t="s">
        <v>1034</v>
      </c>
      <c r="C1539" s="388" t="str">
        <f>IF(OR(I1539&lt;&gt;0,H1539&lt;&gt;0),"x"," ")</f>
        <v xml:space="preserve"> </v>
      </c>
      <c r="D1539" s="338" t="str">
        <f>VLOOKUP($B1539,DG!A:D,DG!$B$2,)</f>
        <v>06.6105</v>
      </c>
      <c r="E1539" s="366" t="str">
        <f>VLOOKUP($B1539,DG!A:D,DG!$C$2,)</f>
        <v>Kéo dây nhôm bọc 70mm2</v>
      </c>
      <c r="F1539" s="594" t="str">
        <f>VLOOKUP($B1539,DG!A:D,DG!$D$2,)</f>
        <v>km</v>
      </c>
      <c r="G1539" s="595">
        <f>ROUND(D1451/1000,2)</f>
        <v>0</v>
      </c>
      <c r="H1539" s="355"/>
      <c r="I1539" s="355">
        <f>H1539+J1539-K1539</f>
        <v>0</v>
      </c>
      <c r="J1539" s="355"/>
      <c r="K1539" s="355"/>
      <c r="L1539" s="367"/>
      <c r="M1539" s="332"/>
      <c r="N1539" s="340"/>
      <c r="O1539" s="341"/>
    </row>
    <row r="1540" spans="1:15" ht="16.2">
      <c r="A1540" s="288"/>
      <c r="B1540" s="351" t="s">
        <v>1129</v>
      </c>
      <c r="C1540" s="388" t="str">
        <f>IF(OR(I1540&lt;&gt;0,H1540&lt;&gt;0),"x"," ")</f>
        <v xml:space="preserve"> </v>
      </c>
      <c r="D1540" s="338" t="str">
        <f>VLOOKUP($B1540,DG!A:D,DG!$B$2,)</f>
        <v>06.6124</v>
      </c>
      <c r="E1540" s="366" t="str">
        <f>VLOOKUP($B1540,DG!A:D,DG!$C$2,)</f>
        <v>Kéo dây nhôm bọc 50mm2</v>
      </c>
      <c r="F1540" s="594" t="str">
        <f>VLOOKUP($B1540,DG!A:D,DG!$D$2,)</f>
        <v>km</v>
      </c>
      <c r="G1540" s="595">
        <f>ROUND(D1452/1000,2)</f>
        <v>0</v>
      </c>
      <c r="H1540" s="355"/>
      <c r="I1540" s="355">
        <f>H1540+J1540-K1540</f>
        <v>0</v>
      </c>
      <c r="J1540" s="355"/>
      <c r="K1540" s="355"/>
      <c r="L1540" s="367"/>
      <c r="M1540" s="332"/>
      <c r="N1540" s="340"/>
      <c r="O1540" s="341"/>
    </row>
    <row r="1541" spans="1:15" ht="16.2">
      <c r="A1541" s="288"/>
      <c r="B1541" s="351" t="s">
        <v>1025</v>
      </c>
      <c r="C1541" s="388" t="str">
        <f>IF(OR(I1541&lt;&gt;0,H1541&lt;&gt;0),"x"," ")</f>
        <v xml:space="preserve"> </v>
      </c>
      <c r="D1541" s="338" t="str">
        <f>VLOOKUP($B1541,DG!A:D,DG!$B$2,)</f>
        <v>06.6114</v>
      </c>
      <c r="E1541" s="366" t="str">
        <f>VLOOKUP($B1541,DG!A:D,DG!$C$2,)</f>
        <v>Kéo dây nhôm lõi thép cỡ dây 50mm2</v>
      </c>
      <c r="F1541" s="594" t="str">
        <f>VLOOKUP($B1541,DG!A:D,DG!$D$2,)</f>
        <v>km</v>
      </c>
      <c r="G1541" s="595">
        <f>ROUND(D1453/1000,2)</f>
        <v>0</v>
      </c>
      <c r="H1541" s="355"/>
      <c r="I1541" s="355">
        <f>H1541+J1541-K1541</f>
        <v>0</v>
      </c>
      <c r="J1541" s="355"/>
      <c r="K1541" s="355"/>
      <c r="L1541" s="367"/>
      <c r="M1541" s="332"/>
      <c r="N1541" s="340"/>
      <c r="O1541" s="341"/>
    </row>
    <row r="1542" spans="1:15" ht="16.2">
      <c r="A1542" s="288"/>
      <c r="B1542" s="351" t="s">
        <v>1233</v>
      </c>
      <c r="C1542" s="388" t="str">
        <f>IF(OR(I1542&lt;&gt;0,H1542&lt;&gt;0),"x"," ")</f>
        <v xml:space="preserve"> </v>
      </c>
      <c r="D1542" s="363" t="str">
        <f>VLOOKUP($B1542,DG!A:D,DG!$B$2,)</f>
        <v>07.3404</v>
      </c>
      <c r="E1542" s="366" t="str">
        <f>VLOOKUP($B1542,DG!A:D,DG!$C$2,)</f>
        <v>Lắp cáp trong ống bảo vệ loại &lt;=4.5kg</v>
      </c>
      <c r="F1542" s="594" t="str">
        <f>VLOOKUP($B1542,DG!A:D,DG!$D$2,)</f>
        <v>mét</v>
      </c>
      <c r="G1542" s="595"/>
      <c r="H1542" s="355"/>
      <c r="I1542" s="355">
        <f>H1542+J1542-K1542</f>
        <v>0</v>
      </c>
      <c r="J1542" s="355"/>
      <c r="K1542" s="355"/>
      <c r="L1542" s="367"/>
      <c r="M1542" s="332"/>
      <c r="N1542" s="340"/>
      <c r="O1542" s="341"/>
    </row>
    <row r="1543" spans="1:15" ht="16.2">
      <c r="A1543" s="288"/>
      <c r="B1543" s="351" t="s">
        <v>1234</v>
      </c>
      <c r="C1543" s="388" t="str">
        <f>IF(OR(I1543&lt;&gt;0,H1543&lt;&gt;0),"x"," ")</f>
        <v xml:space="preserve"> </v>
      </c>
      <c r="D1543" s="363" t="str">
        <f>VLOOKUP($B1543,DG!A:D,DG!$B$2,)</f>
        <v>07.3403</v>
      </c>
      <c r="E1543" s="366" t="str">
        <f>VLOOKUP($B1543,DG!A:D,DG!$C$2,)</f>
        <v>Lắp cáp trong ống bảo vệ loại &lt;=3kg</v>
      </c>
      <c r="F1543" s="594" t="str">
        <f>VLOOKUP($B1543,DG!A:D,DG!$D$2,)</f>
        <v>mét</v>
      </c>
      <c r="G1543" s="595"/>
      <c r="H1543" s="355"/>
      <c r="I1543" s="355">
        <f>H1543+J1543-K1543</f>
        <v>0</v>
      </c>
      <c r="J1543" s="355"/>
      <c r="K1543" s="355"/>
      <c r="L1543" s="367"/>
      <c r="M1543" s="332"/>
      <c r="N1543" s="340"/>
      <c r="O1543" s="341"/>
    </row>
    <row r="1544" spans="1:15" ht="16.2">
      <c r="A1544" s="288"/>
      <c r="B1544" s="351" t="s">
        <v>1235</v>
      </c>
      <c r="C1544" s="388" t="str">
        <f>IF(OR(I1544&lt;&gt;0,H1544&lt;&gt;0),"x"," ")</f>
        <v xml:space="preserve"> </v>
      </c>
      <c r="D1544" s="338" t="str">
        <f>VLOOKUP($B1544,DG!A:D,DG!$B$2,)</f>
        <v>06.7007</v>
      </c>
      <c r="E1544" s="366" t="str">
        <f>VLOOKUP($B1544,DG!A:D,DG!$C$2,)</f>
        <v>Kéo dây ABC 4x150mm2</v>
      </c>
      <c r="F1544" s="594" t="str">
        <f>VLOOKUP($B1544,DG!A:D,DG!$D$2,)</f>
        <v>km</v>
      </c>
      <c r="G1544" s="595">
        <f>(D1459+G1520)/1000</f>
        <v>0</v>
      </c>
      <c r="H1544" s="355"/>
      <c r="I1544" s="355">
        <f>H1544+J1544-K1544</f>
        <v>0</v>
      </c>
      <c r="J1544" s="355"/>
      <c r="K1544" s="355"/>
      <c r="L1544" s="367"/>
      <c r="M1544" s="332"/>
      <c r="N1544" s="340"/>
      <c r="O1544" s="341"/>
    </row>
    <row r="1545" spans="1:15" ht="16.2">
      <c r="A1545" s="288"/>
      <c r="B1545" s="351" t="s">
        <v>1236</v>
      </c>
      <c r="C1545" s="388" t="str">
        <f>IF(OR(I1545&lt;&gt;0,H1545&lt;&gt;0),"x"," ")</f>
        <v xml:space="preserve"> </v>
      </c>
      <c r="D1545" s="338" t="str">
        <f>VLOOKUP($B1545,DG!A:D,DG!$B$2,)</f>
        <v>06.7006</v>
      </c>
      <c r="E1545" s="366" t="str">
        <f>VLOOKUP($B1545,DG!A:D,DG!$C$2,)</f>
        <v>Kéo dây ABC 3x95mm2</v>
      </c>
      <c r="F1545" s="594" t="str">
        <f>VLOOKUP($B1545,DG!A:D,DG!$D$2,)</f>
        <v>km</v>
      </c>
      <c r="G1545" s="595">
        <f>(D1455)/1000</f>
        <v>0</v>
      </c>
      <c r="H1545" s="355">
        <f>G1545</f>
        <v>0</v>
      </c>
      <c r="I1545" s="355">
        <f>H1545+J1545-K1545</f>
        <v>0</v>
      </c>
      <c r="J1545" s="355"/>
      <c r="K1545" s="355"/>
      <c r="L1545" s="367"/>
      <c r="M1545" s="332"/>
      <c r="N1545" s="340"/>
      <c r="O1545" s="341"/>
    </row>
    <row r="1546" spans="1:15" ht="16.2">
      <c r="A1546" s="288"/>
      <c r="B1546" s="351" t="s">
        <v>1236</v>
      </c>
      <c r="C1546" s="388" t="str">
        <f>IF(OR(I1546&lt;&gt;0,H1546&lt;&gt;0),"x"," ")</f>
        <v xml:space="preserve"> </v>
      </c>
      <c r="D1546" s="338" t="str">
        <f>VLOOKUP($B1546,DG!A:D,DG!$B$2,)</f>
        <v>06.7006</v>
      </c>
      <c r="E1546" s="366" t="str">
        <f>VLOOKUP($B1546,DG!A:D,DG!$C$2,)</f>
        <v>Kéo dây ABC 3x95mm2</v>
      </c>
      <c r="F1546" s="594" t="str">
        <f>VLOOKUP($B1546,DG!A:D,DG!$D$2,)</f>
        <v>km</v>
      </c>
      <c r="G1546" s="595">
        <f>(D1457+D1455)/1000</f>
        <v>0</v>
      </c>
      <c r="H1546" s="355">
        <f>H1457/1000</f>
        <v>0</v>
      </c>
      <c r="I1546" s="355">
        <f>H1546+J1546-K1546</f>
        <v>0</v>
      </c>
      <c r="J1546" s="355"/>
      <c r="K1546" s="355"/>
      <c r="L1546" s="367"/>
      <c r="M1546" s="332"/>
      <c r="N1546" s="340"/>
      <c r="O1546" s="341"/>
    </row>
    <row r="1547" spans="1:15" ht="16.2">
      <c r="A1547" s="288"/>
      <c r="B1547" s="351" t="s">
        <v>1237</v>
      </c>
      <c r="C1547" s="388" t="str">
        <f>IF(OR(I1547&lt;&gt;0,H1547&lt;&gt;0),"x"," ")</f>
        <v xml:space="preserve"> </v>
      </c>
      <c r="D1547" s="338" t="str">
        <f>VLOOKUP($B1547,DG!A:D,DG!$B$2,)</f>
        <v>06.6504</v>
      </c>
      <c r="E1547" s="366" t="str">
        <f>VLOOKUP($B1547,DG!A:D,DG!$C$2,)</f>
        <v>Kéo dây ABC 4x50mm2</v>
      </c>
      <c r="F1547" s="594" t="str">
        <f>VLOOKUP($B1547,DG!A:D,DG!$D$2,)</f>
        <v>km</v>
      </c>
      <c r="G1547" s="595">
        <f>D1456/1000</f>
        <v>0</v>
      </c>
      <c r="H1547" s="355"/>
      <c r="I1547" s="355">
        <f>H1547+J1547-K1547</f>
        <v>0</v>
      </c>
      <c r="J1547" s="355"/>
      <c r="K1547" s="355"/>
      <c r="L1547" s="367"/>
      <c r="M1547" s="332"/>
      <c r="N1547" s="340"/>
      <c r="O1547" s="341"/>
    </row>
    <row r="1548" spans="1:15" ht="16.2">
      <c r="A1548" s="288"/>
      <c r="B1548" s="351" t="s">
        <v>1237</v>
      </c>
      <c r="C1548" s="388" t="str">
        <f>IF(OR(I1548&lt;&gt;0,H1548&lt;&gt;0),"x"," ")</f>
        <v xml:space="preserve"> </v>
      </c>
      <c r="D1548" s="338" t="str">
        <f>VLOOKUP($B1548,DG!A:D,DG!$B$2,)</f>
        <v>06.6504</v>
      </c>
      <c r="E1548" s="366" t="s">
        <v>1238</v>
      </c>
      <c r="F1548" s="594" t="str">
        <f>VLOOKUP($B1548,DG!A:D,DG!$D$2,)</f>
        <v>km</v>
      </c>
      <c r="G1548" s="595">
        <f>D1454/1000</f>
        <v>0</v>
      </c>
      <c r="H1548" s="355"/>
      <c r="I1548" s="355">
        <f>H1548+J1548-K1548</f>
        <v>0</v>
      </c>
      <c r="J1548" s="355"/>
      <c r="K1548" s="355"/>
      <c r="L1548" s="367"/>
      <c r="M1548" s="332"/>
      <c r="N1548" s="340"/>
      <c r="O1548" s="341"/>
    </row>
    <row r="1549" spans="1:15" ht="16.2">
      <c r="A1549" s="288"/>
      <c r="B1549" s="351" t="s">
        <v>1234</v>
      </c>
      <c r="C1549" s="388" t="str">
        <f>IF(OR(I1549&lt;&gt;0,H1549&lt;&gt;0),"x"," ")</f>
        <v xml:space="preserve"> </v>
      </c>
      <c r="D1549" s="338" t="str">
        <f>VLOOKUP($B1549,DG!A:D,DG!$B$2,)</f>
        <v>07.3403</v>
      </c>
      <c r="E1549" s="366" t="str">
        <f>VLOOKUP($B1549,DG!A:D,DG!$C$2,)</f>
        <v>Lắp cáp trong ống bảo vệ loại &lt;=3kg</v>
      </c>
      <c r="F1549" s="594" t="str">
        <f>VLOOKUP($B1549,DG!A:D,DG!$D$2,)</f>
        <v>mét</v>
      </c>
      <c r="G1549" s="595">
        <f>G1460/1000</f>
        <v>0</v>
      </c>
      <c r="H1549" s="355"/>
      <c r="I1549" s="355">
        <f>H1549+J1549-K1549</f>
        <v>0</v>
      </c>
      <c r="J1549" s="355"/>
      <c r="K1549" s="355"/>
      <c r="L1549" s="367"/>
      <c r="M1549" s="332"/>
      <c r="N1549" s="340"/>
      <c r="O1549" s="341"/>
    </row>
    <row r="1550" spans="1:15" ht="16.2">
      <c r="A1550" s="288"/>
      <c r="B1550" s="351" t="s">
        <v>1239</v>
      </c>
      <c r="C1550" s="388" t="str">
        <f>IF(OR(I1550&lt;&gt;0,H1550&lt;&gt;0),"x"," ")</f>
        <v xml:space="preserve"> </v>
      </c>
      <c r="D1550" s="338" t="str">
        <f>VLOOKUP($B1550,DG!A:D,DG!$B$2,)</f>
        <v>06.1213</v>
      </c>
      <c r="E1550" s="366" t="str">
        <f>VLOOKUP($B1550,DG!A:D,DG!$C$2,)</f>
        <v>Lắp rack 2 sứ + sứ ống chỉ</v>
      </c>
      <c r="F1550" s="594" t="str">
        <f>VLOOKUP($B1550,DG!A:D,DG!$D$2,)</f>
        <v>bộ</v>
      </c>
      <c r="G1550" s="595">
        <f>G1512</f>
        <v>0</v>
      </c>
      <c r="H1550" s="355"/>
      <c r="I1550" s="355">
        <f>H1550+J1550-K1550</f>
        <v>0</v>
      </c>
      <c r="J1550" s="355"/>
      <c r="K1550" s="355"/>
      <c r="L1550" s="367"/>
      <c r="M1550" s="332"/>
      <c r="N1550" s="340"/>
      <c r="O1550" s="341"/>
    </row>
    <row r="1551" spans="1:15" ht="16.2">
      <c r="A1551" s="288"/>
      <c r="B1551" s="351" t="s">
        <v>1048</v>
      </c>
      <c r="C1551" s="388" t="str">
        <f>IF(OR(I1551&lt;&gt;0,H1551&lt;&gt;0),"x"," ")</f>
        <v xml:space="preserve"> </v>
      </c>
      <c r="D1551" s="338" t="str">
        <f>VLOOKUP($B1551,DG!A:D,DG!$B$2,)</f>
        <v>06.1214</v>
      </c>
      <c r="E1551" s="366" t="str">
        <f>VLOOKUP($B1551,DG!A:D,DG!$C$2,)</f>
        <v>Lắp rack 3 sứ + sứ ống chỉ</v>
      </c>
      <c r="F1551" s="594" t="str">
        <f>VLOOKUP($B1551,DG!A:D,DG!$D$2,)</f>
        <v>bộ</v>
      </c>
      <c r="G1551" s="595">
        <f>G1513</f>
        <v>0</v>
      </c>
      <c r="H1551" s="355"/>
      <c r="I1551" s="355">
        <f>H1551+J1551-K1551</f>
        <v>0</v>
      </c>
      <c r="J1551" s="355"/>
      <c r="K1551" s="355"/>
      <c r="L1551" s="367"/>
      <c r="M1551" s="332"/>
      <c r="N1551" s="340"/>
      <c r="O1551" s="341"/>
    </row>
    <row r="1552" spans="1:15" ht="16.2">
      <c r="A1552" s="288"/>
      <c r="B1552" s="351" t="s">
        <v>1240</v>
      </c>
      <c r="C1552" s="388" t="str">
        <f>IF(OR(I1552&lt;&gt;0,H1552&lt;&gt;0),"x"," ")</f>
        <v xml:space="preserve"> </v>
      </c>
      <c r="D1552" s="338" t="str">
        <f>VLOOKUP($B1552,DG!A:D,DG!$B$2,)</f>
        <v>06.1215</v>
      </c>
      <c r="E1552" s="366" t="str">
        <f>VLOOKUP($B1552,DG!A:D,DG!$C$2,)</f>
        <v>Lắp rack 4 sứ + sứ ống chỉ</v>
      </c>
      <c r="F1552" s="594" t="str">
        <f>VLOOKUP($B1552,DG!A:D,DG!$D$2,)</f>
        <v>bộ</v>
      </c>
      <c r="G1552" s="595">
        <f>G1514</f>
        <v>0</v>
      </c>
      <c r="H1552" s="355"/>
      <c r="I1552" s="355">
        <f>H1552+J1552-K1552</f>
        <v>0</v>
      </c>
      <c r="J1552" s="355"/>
      <c r="K1552" s="355"/>
      <c r="L1552" s="367"/>
      <c r="M1552" s="332"/>
      <c r="N1552" s="340"/>
      <c r="O1552" s="341"/>
    </row>
    <row r="1553" spans="1:15" ht="16.2">
      <c r="A1553" s="288"/>
      <c r="B1553" s="351" t="s">
        <v>1241</v>
      </c>
      <c r="C1553" s="388" t="str">
        <f>IF(OR(I1553&lt;&gt;0,H1553&lt;&gt;0),"x"," ")</f>
        <v xml:space="preserve"> </v>
      </c>
      <c r="D1553" s="338" t="str">
        <f>VLOOKUP($B1553,DG!A:D,DG!$B$2,)</f>
        <v>06.2070</v>
      </c>
      <c r="E1553" s="358" t="str">
        <f>VLOOKUP($B1553,DG!A:D,DG!$C$2,)</f>
        <v>Sơn biển số- bảng nguy hiểm</v>
      </c>
      <c r="F1553" s="594" t="str">
        <f>VLOOKUP($B1553,DG!A:D,DG!$D$2,)</f>
        <v>cái</v>
      </c>
      <c r="G1553" s="595">
        <f>[3]ppht!S338*0</f>
        <v>0</v>
      </c>
      <c r="H1553" s="355"/>
      <c r="I1553" s="355">
        <f>H1553+J1553-K1553</f>
        <v>0</v>
      </c>
      <c r="J1553" s="355"/>
      <c r="K1553" s="355"/>
      <c r="L1553" s="367"/>
      <c r="M1553" s="332"/>
      <c r="N1553" s="340"/>
      <c r="O1553" s="341"/>
    </row>
    <row r="1554" spans="1:15" ht="16.2">
      <c r="A1554" s="288"/>
      <c r="B1554" s="351" t="s">
        <v>1060</v>
      </c>
      <c r="C1554" s="388" t="str">
        <f>IF(OR(I1554&lt;&gt;0,H1554&lt;&gt;0),"x"," ")</f>
        <v xml:space="preserve"> </v>
      </c>
      <c r="D1554" s="338" t="str">
        <f>VLOOKUP($B1554,DG!A:D,DG!$B$2,)</f>
        <v>02.1122</v>
      </c>
      <c r="E1554" s="366" t="str">
        <f>VLOOKUP($B1554,DG!A:D,DG!$C$2,)</f>
        <v>Bốc dỡ dây</v>
      </c>
      <c r="F1554" s="594" t="str">
        <f>VLOOKUP($B1554,DG!A:D,DG!$D$2,)</f>
        <v>tấn</v>
      </c>
      <c r="G1554" s="595" t="e">
        <f>#REF!</f>
        <v>#REF!</v>
      </c>
      <c r="H1554" s="355"/>
      <c r="I1554" s="355">
        <f>H1554+J1554-K1554</f>
        <v>0</v>
      </c>
      <c r="J1554" s="355"/>
      <c r="K1554" s="355"/>
      <c r="L1554" s="367"/>
      <c r="M1554" s="332"/>
      <c r="N1554" s="340"/>
      <c r="O1554" s="341"/>
    </row>
    <row r="1555" spans="1:15" ht="16.2">
      <c r="A1555" s="288"/>
      <c r="B1555" s="351" t="s">
        <v>604</v>
      </c>
      <c r="C1555" s="388" t="str">
        <f>IF(OR(I1555&lt;&gt;0,H1555&lt;&gt;0),"x"," ")</f>
        <v xml:space="preserve"> </v>
      </c>
      <c r="D1555" s="338" t="str">
        <f>VLOOKUP($B1555,DG!A:D,DG!$B$2,)</f>
        <v>02.1120</v>
      </c>
      <c r="E1555" s="366" t="str">
        <f>VLOOKUP($B1555,DG!A:D,DG!$C$2,)</f>
        <v>Bốc dỡ phụ kiện</v>
      </c>
      <c r="F1555" s="594" t="str">
        <f>VLOOKUP($B1555,DG!A:D,DG!$D$2,)</f>
        <v>tấn</v>
      </c>
      <c r="G1555" s="595" t="e">
        <f>#REF!</f>
        <v>#REF!</v>
      </c>
      <c r="H1555" s="355"/>
      <c r="I1555" s="355">
        <f>H1555+J1555-K1555</f>
        <v>0</v>
      </c>
      <c r="J1555" s="355"/>
      <c r="K1555" s="355"/>
      <c r="L1555" s="367"/>
      <c r="M1555" s="332"/>
      <c r="N1555" s="340"/>
      <c r="O1555" s="341"/>
    </row>
    <row r="1556" spans="1:15" ht="16.2">
      <c r="A1556" s="342" t="s">
        <v>1242</v>
      </c>
      <c r="B1556" s="343" t="s">
        <v>1242</v>
      </c>
      <c r="C1556" s="388" t="str">
        <f>IF(G1556&lt;&gt;0,"x"," ")</f>
        <v xml:space="preserve"> </v>
      </c>
      <c r="D1556" s="347" t="s">
        <v>1243</v>
      </c>
      <c r="E1556" s="346" t="s">
        <v>1244</v>
      </c>
      <c r="F1556" s="593" t="s">
        <v>934</v>
      </c>
      <c r="G1556" s="349">
        <f>IF(SUM(G1557:G1579)=0,0,1)</f>
        <v>0</v>
      </c>
      <c r="H1556" s="349">
        <f>IFERROR(HLOOKUP(B1556,'BKT-ThuHoi'!$5:$183,179,0),0)</f>
        <v>0</v>
      </c>
      <c r="I1556" s="350"/>
      <c r="J1556" s="350"/>
      <c r="K1556" s="350"/>
      <c r="L1556" s="348"/>
      <c r="M1556" s="332"/>
      <c r="N1556" s="340"/>
      <c r="O1556" s="341"/>
    </row>
    <row r="1557" spans="1:15" ht="16.2">
      <c r="A1557" s="288"/>
      <c r="B1557" s="351" t="s">
        <v>1162</v>
      </c>
      <c r="C1557" s="388" t="str">
        <f>IF(OR(I1557&lt;&gt;0,H1557&lt;&gt;0),"x"," ")</f>
        <v xml:space="preserve"> </v>
      </c>
      <c r="D1557" s="410">
        <f>+'[3]ppht NC'!E310</f>
        <v>0</v>
      </c>
      <c r="E1557" s="358" t="str">
        <f>VLOOKUP($B1557,DG!A:D,DG!$C$2,)</f>
        <v>Cáp nhôm bọc AV95</v>
      </c>
      <c r="F1557" s="594" t="str">
        <f>VLOOKUP($B1557,DG!A:D,DG!$D$2,)</f>
        <v>mét</v>
      </c>
      <c r="G1557" s="595">
        <f>ROUND(D1557*1.03,0)</f>
        <v>0</v>
      </c>
      <c r="H1557" s="355">
        <f>$G1557</f>
        <v>0</v>
      </c>
      <c r="I1557" s="355">
        <f>H1557+J1557-K1557</f>
        <v>0</v>
      </c>
      <c r="J1557" s="355"/>
      <c r="K1557" s="355"/>
      <c r="L1557" s="367"/>
      <c r="M1557" s="332"/>
      <c r="N1557" s="340"/>
      <c r="O1557" s="341"/>
    </row>
    <row r="1558" spans="1:15" ht="16.2">
      <c r="A1558" s="288"/>
      <c r="B1558" s="351" t="s">
        <v>1163</v>
      </c>
      <c r="C1558" s="388" t="str">
        <f>IF(OR(I1558&lt;&gt;0,H1558&lt;&gt;0),"x"," ")</f>
        <v xml:space="preserve"> </v>
      </c>
      <c r="D1558" s="410">
        <f>+'[3]ppht NC'!D310</f>
        <v>0</v>
      </c>
      <c r="E1558" s="358" t="str">
        <f>VLOOKUP($B1558,DG!A:D,DG!$C$2,)</f>
        <v>Cáp nhôm bọc AV50</v>
      </c>
      <c r="F1558" s="594" t="str">
        <f>VLOOKUP($B1558,DG!A:D,DG!$D$2,)</f>
        <v>mét</v>
      </c>
      <c r="G1558" s="595">
        <f>ROUND(D1558*1.03,0)</f>
        <v>0</v>
      </c>
      <c r="H1558" s="355">
        <f>$G1558</f>
        <v>0</v>
      </c>
      <c r="I1558" s="355">
        <f>H1558+J1558-K1558</f>
        <v>0</v>
      </c>
      <c r="J1558" s="355"/>
      <c r="K1558" s="355"/>
      <c r="L1558" s="367"/>
      <c r="M1558" s="332"/>
      <c r="N1558" s="340"/>
      <c r="O1558" s="341"/>
    </row>
    <row r="1559" spans="1:15" ht="16.2">
      <c r="A1559" s="288"/>
      <c r="B1559" s="351" t="s">
        <v>941</v>
      </c>
      <c r="C1559" s="388" t="str">
        <f>IF(OR(I1559&lt;&gt;0,H1559&lt;&gt;0),"x"," ")</f>
        <v xml:space="preserve"> </v>
      </c>
      <c r="D1559" s="410"/>
      <c r="E1559" s="358" t="str">
        <f>VLOOKUP($B1559,DG!A:D,DG!$C$2,)</f>
        <v>Cáp nhôm lõi thép AC-50/8</v>
      </c>
      <c r="F1559" s="594" t="str">
        <f>VLOOKUP($B1559,DG!A:D,DG!$D$2,)</f>
        <v>kg</v>
      </c>
      <c r="G1559" s="595">
        <f>ROUND(D1559*1.03,0)</f>
        <v>0</v>
      </c>
      <c r="H1559" s="355">
        <f>$G1559</f>
        <v>0</v>
      </c>
      <c r="I1559" s="355">
        <f>H1559+J1559-K1559</f>
        <v>0</v>
      </c>
      <c r="J1559" s="355"/>
      <c r="K1559" s="355"/>
      <c r="L1559" s="367"/>
      <c r="M1559" s="332"/>
      <c r="N1559" s="340"/>
      <c r="O1559" s="341"/>
    </row>
    <row r="1560" spans="1:15" ht="16.2">
      <c r="A1560" s="288"/>
      <c r="B1560" s="351" t="s">
        <v>1245</v>
      </c>
      <c r="C1560" s="388" t="str">
        <f>IF(OR(I1560&lt;&gt;0,H1560&lt;&gt;0),"x"," ")</f>
        <v xml:space="preserve"> </v>
      </c>
      <c r="D1560" s="410">
        <f>[3]pp_NC!P200</f>
        <v>0</v>
      </c>
      <c r="E1560" s="358" t="str">
        <f>VLOOKUP($B1560,DG!A:D,DG!$C$2,)</f>
        <v>Cáp Duplex 2x11</v>
      </c>
      <c r="F1560" s="594" t="str">
        <f>VLOOKUP($B1560,DG!A:D,DG!$D$2,)</f>
        <v>m</v>
      </c>
      <c r="G1560" s="595">
        <f>ROUND(D1560*1.02,0)</f>
        <v>0</v>
      </c>
      <c r="H1560" s="355">
        <f>$G1560</f>
        <v>0</v>
      </c>
      <c r="I1560" s="355">
        <f>H1560+J1560-K1560</f>
        <v>0</v>
      </c>
      <c r="J1560" s="355"/>
      <c r="K1560" s="355"/>
      <c r="L1560" s="367"/>
      <c r="M1560" s="332"/>
      <c r="N1560" s="340"/>
      <c r="O1560" s="341"/>
    </row>
    <row r="1561" spans="1:15" ht="16.2">
      <c r="A1561" s="288"/>
      <c r="B1561" s="351" t="s">
        <v>998</v>
      </c>
      <c r="C1561" s="388" t="str">
        <f>IF(OR(I1561&lt;&gt;0,H1561&lt;&gt;0),"x"," ")</f>
        <v xml:space="preserve"> </v>
      </c>
      <c r="D1561" s="338"/>
      <c r="E1561" s="358" t="str">
        <f>VLOOKUP($B1561,DG!A:D,DG!$C$2,)</f>
        <v>Kẹp 2 rãnh (APC) cỡ dây 50mm2</v>
      </c>
      <c r="F1561" s="594" t="str">
        <f>VLOOKUP($B1561,DG!A:D,DG!$D$2,)</f>
        <v>cái</v>
      </c>
      <c r="G1561" s="595">
        <f>[3]ppht!DS340</f>
        <v>0</v>
      </c>
      <c r="H1561" s="355">
        <f t="shared" ref="H1561:H1575" si="73">G1561</f>
        <v>0</v>
      </c>
      <c r="I1561" s="355">
        <f>H1561+J1561-K1561</f>
        <v>0</v>
      </c>
      <c r="J1561" s="355"/>
      <c r="K1561" s="355"/>
      <c r="L1561" s="367"/>
      <c r="M1561" s="332"/>
      <c r="N1561" s="340"/>
      <c r="O1561" s="341"/>
    </row>
    <row r="1562" spans="1:15" ht="16.2">
      <c r="A1562" s="288"/>
      <c r="B1562" s="351" t="s">
        <v>999</v>
      </c>
      <c r="C1562" s="388" t="str">
        <f>IF(OR(I1562&lt;&gt;0,H1562&lt;&gt;0),"x"," ")</f>
        <v xml:space="preserve"> </v>
      </c>
      <c r="D1562" s="338"/>
      <c r="E1562" s="358" t="str">
        <f>VLOOKUP($B1562,DG!A:D,DG!$C$2,)</f>
        <v>Kẹp 2 rãnh (APC) cỡ dây 70mm2</v>
      </c>
      <c r="F1562" s="594" t="str">
        <f>VLOOKUP($B1562,DG!A:D,DG!$D$2,)</f>
        <v>cái</v>
      </c>
      <c r="G1562" s="595">
        <f>[3]ppht!DT340</f>
        <v>0</v>
      </c>
      <c r="H1562" s="355">
        <f>G1562</f>
        <v>0</v>
      </c>
      <c r="I1562" s="355">
        <f>H1562+J1562-K1562</f>
        <v>0</v>
      </c>
      <c r="J1562" s="355"/>
      <c r="K1562" s="355"/>
      <c r="L1562" s="367"/>
      <c r="M1562" s="332"/>
      <c r="N1562" s="340"/>
      <c r="O1562" s="341"/>
    </row>
    <row r="1563" spans="1:15" ht="16.2">
      <c r="A1563" s="288"/>
      <c r="B1563" s="351" t="s">
        <v>1246</v>
      </c>
      <c r="C1563" s="388" t="str">
        <f>IF(OR(I1563&lt;&gt;0,H1563&lt;&gt;0),"x"," ")</f>
        <v xml:space="preserve"> </v>
      </c>
      <c r="D1563" s="338"/>
      <c r="E1563" s="358" t="str">
        <f>VLOOKUP($B1563,DG!A:D,DG!$C$2,)</f>
        <v>Uclevis</v>
      </c>
      <c r="F1563" s="594" t="str">
        <f>VLOOKUP($B1563,DG!A:D,DG!$D$2,)</f>
        <v>bộ</v>
      </c>
      <c r="G1563" s="595">
        <f>+'[3]ppht NC'!BW310</f>
        <v>0</v>
      </c>
      <c r="H1563" s="355">
        <f t="shared" si="73"/>
        <v>0</v>
      </c>
      <c r="I1563" s="355">
        <f>H1563+J1563-K1563</f>
        <v>0</v>
      </c>
      <c r="J1563" s="355"/>
      <c r="K1563" s="355"/>
      <c r="L1563" s="367"/>
      <c r="M1563" s="332"/>
      <c r="N1563" s="340"/>
      <c r="O1563" s="341"/>
    </row>
    <row r="1564" spans="1:15" ht="16.2">
      <c r="A1564" s="288"/>
      <c r="B1564" s="351" t="s">
        <v>1216</v>
      </c>
      <c r="C1564" s="388" t="str">
        <f>IF(OR(I1564&lt;&gt;0,H1564&lt;&gt;0),"x"," ")</f>
        <v xml:space="preserve"> </v>
      </c>
      <c r="D1564" s="338"/>
      <c r="E1564" s="358" t="str">
        <f>VLOOKUP($B1564,DG!A:D,DG!$C$2,)</f>
        <v>Rack 2 sứ + sứ ống chỉ</v>
      </c>
      <c r="F1564" s="594" t="str">
        <f>VLOOKUP($B1564,DG!A:D,DG!$D$2,)</f>
        <v>bộ</v>
      </c>
      <c r="G1564" s="595">
        <f>[3]ppht!BY340+[3]pp_NC!EM182</f>
        <v>0</v>
      </c>
      <c r="H1564" s="355">
        <f t="shared" si="73"/>
        <v>0</v>
      </c>
      <c r="I1564" s="355">
        <f>H1564+J1564-K1564</f>
        <v>0</v>
      </c>
      <c r="J1564" s="355"/>
      <c r="K1564" s="355"/>
      <c r="L1564" s="367"/>
      <c r="M1564" s="332"/>
      <c r="N1564" s="340"/>
      <c r="O1564" s="341"/>
    </row>
    <row r="1565" spans="1:15" ht="16.2">
      <c r="A1565" s="288"/>
      <c r="B1565" s="351" t="s">
        <v>1217</v>
      </c>
      <c r="C1565" s="388" t="str">
        <f>IF(OR(I1565&lt;&gt;0,H1565&lt;&gt;0),"x"," ")</f>
        <v xml:space="preserve"> </v>
      </c>
      <c r="D1565" s="338"/>
      <c r="E1565" s="358" t="str">
        <f>VLOOKUP($B1565,DG!A:D,DG!$C$2,)</f>
        <v>Rack 3 sứ + sứ ống chỉ</v>
      </c>
      <c r="F1565" s="594" t="str">
        <f>VLOOKUP($B1565,DG!A:D,DG!$D$2,)</f>
        <v>bộ</v>
      </c>
      <c r="G1565" s="595">
        <f>[3]ppht!BZ340+[3]pp_NC!EN182</f>
        <v>0</v>
      </c>
      <c r="H1565" s="355">
        <f t="shared" si="73"/>
        <v>0</v>
      </c>
      <c r="I1565" s="355">
        <f>H1565+J1565-K1565</f>
        <v>0</v>
      </c>
      <c r="J1565" s="355"/>
      <c r="K1565" s="355"/>
      <c r="L1565" s="367"/>
      <c r="M1565" s="332"/>
      <c r="N1565" s="340"/>
      <c r="O1565" s="341"/>
    </row>
    <row r="1566" spans="1:15" ht="16.2">
      <c r="A1566" s="288"/>
      <c r="B1566" s="351" t="s">
        <v>1247</v>
      </c>
      <c r="C1566" s="388" t="str">
        <f>IF(OR(I1566&lt;&gt;0,H1566&lt;&gt;0),"x"," ")</f>
        <v xml:space="preserve"> </v>
      </c>
      <c r="D1566" s="338"/>
      <c r="E1566" s="358" t="str">
        <f>VLOOKUP($B1566,DG!A:D,DG!$C$2,)</f>
        <v>Rack 4</v>
      </c>
      <c r="F1566" s="594" t="str">
        <f>VLOOKUP($B1566,DG!A:D,DG!$D$2,)</f>
        <v>cái</v>
      </c>
      <c r="G1566" s="595">
        <f>+'[3]ppht NC'!BZ310</f>
        <v>0</v>
      </c>
      <c r="H1566" s="355">
        <f>G1566</f>
        <v>0</v>
      </c>
      <c r="I1566" s="355">
        <f>H1566+J1566-K1566</f>
        <v>0</v>
      </c>
      <c r="J1566" s="355"/>
      <c r="K1566" s="355"/>
      <c r="L1566" s="367"/>
      <c r="M1566" s="332"/>
      <c r="N1566" s="340"/>
      <c r="O1566" s="341"/>
    </row>
    <row r="1567" spans="1:15" ht="16.2">
      <c r="A1567" s="288"/>
      <c r="B1567" s="351" t="s">
        <v>1248</v>
      </c>
      <c r="C1567" s="388" t="str">
        <f>IF(OR(I1567&lt;&gt;0,H1567&lt;&gt;0),"x"," ")</f>
        <v xml:space="preserve"> </v>
      </c>
      <c r="D1567" s="338"/>
      <c r="E1567" s="358" t="str">
        <f>VLOOKUP($B1567,DG!A:D,DG!$C$2,)</f>
        <v xml:space="preserve">Sứ ống chỉ </v>
      </c>
      <c r="F1567" s="594" t="str">
        <f>VLOOKUP($B1567,DG!A:D,DG!$D$2,)</f>
        <v>cái</v>
      </c>
      <c r="G1567" s="595">
        <f>+'[3]ppht NC'!BV310</f>
        <v>0</v>
      </c>
      <c r="H1567" s="355">
        <f>G1567</f>
        <v>0</v>
      </c>
      <c r="I1567" s="355">
        <f>H1567+J1567-K1567</f>
        <v>0</v>
      </c>
      <c r="J1567" s="355"/>
      <c r="K1567" s="355"/>
      <c r="L1567" s="367"/>
      <c r="M1567" s="332"/>
      <c r="N1567" s="340"/>
      <c r="O1567" s="341"/>
    </row>
    <row r="1568" spans="1:15" ht="16.2">
      <c r="A1568" s="288"/>
      <c r="B1568" s="417" t="s">
        <v>707</v>
      </c>
      <c r="C1568" s="388" t="str">
        <f>IF(OR(I1568&lt;&gt;0,H1568&lt;&gt;0),"x"," ")</f>
        <v xml:space="preserve"> </v>
      </c>
      <c r="D1568" s="338"/>
      <c r="E1568" s="358" t="str">
        <f>VLOOKUP($B1568,DG!A:D,DG!$C$2,)</f>
        <v>Boulon 16x250</v>
      </c>
      <c r="F1568" s="594" t="str">
        <f>VLOOKUP($B1568,DG!A:D,DG!$D$2,)</f>
        <v>bộ</v>
      </c>
      <c r="G1568" s="595">
        <f>+'[3]ppht NC'!CA310</f>
        <v>0</v>
      </c>
      <c r="H1568" s="355">
        <f t="shared" si="73"/>
        <v>0</v>
      </c>
      <c r="I1568" s="355">
        <f>H1568+J1568-K1568</f>
        <v>0</v>
      </c>
      <c r="J1568" s="355"/>
      <c r="K1568" s="355"/>
      <c r="L1568" s="367"/>
      <c r="M1568" s="332"/>
      <c r="N1568" s="340"/>
      <c r="O1568" s="341"/>
    </row>
    <row r="1569" spans="1:15" ht="16.2">
      <c r="A1569" s="288"/>
      <c r="B1569" s="417" t="s">
        <v>717</v>
      </c>
      <c r="C1569" s="388" t="str">
        <f>IF(OR(I1569&lt;&gt;0,H1569&lt;&gt;0),"x"," ")</f>
        <v xml:space="preserve"> </v>
      </c>
      <c r="D1569" s="338"/>
      <c r="E1569" s="358" t="str">
        <f>VLOOKUP($B1569,DG!A:D,DG!$C$2,)</f>
        <v>Boulon 16x300</v>
      </c>
      <c r="F1569" s="594" t="str">
        <f>VLOOKUP($B1569,DG!A:D,DG!$D$2,)</f>
        <v>bộ</v>
      </c>
      <c r="G1569" s="595">
        <f>+'[3]ppht NC'!CB310</f>
        <v>0</v>
      </c>
      <c r="H1569" s="355">
        <f t="shared" si="73"/>
        <v>0</v>
      </c>
      <c r="I1569" s="355">
        <f>H1569+J1569-K1569</f>
        <v>0</v>
      </c>
      <c r="J1569" s="355"/>
      <c r="K1569" s="355"/>
      <c r="L1569" s="367"/>
      <c r="M1569" s="332"/>
      <c r="N1569" s="340"/>
      <c r="O1569" s="341"/>
    </row>
    <row r="1570" spans="1:15" ht="16.2">
      <c r="A1570" s="288"/>
      <c r="B1570" s="417" t="s">
        <v>1121</v>
      </c>
      <c r="C1570" s="388" t="str">
        <f>IF(OR(I1570&lt;&gt;0,H1570&lt;&gt;0),"x"," ")</f>
        <v xml:space="preserve"> </v>
      </c>
      <c r="D1570" s="338"/>
      <c r="E1570" s="358" t="str">
        <f>VLOOKUP($B1570,DG!A:D,DG!$C$2,)</f>
        <v>Boulon 16x350</v>
      </c>
      <c r="F1570" s="594" t="str">
        <f>VLOOKUP($B1570,DG!A:D,DG!$D$2,)</f>
        <v>bộ</v>
      </c>
      <c r="G1570" s="595">
        <f>[3]ppht!CD340</f>
        <v>0</v>
      </c>
      <c r="H1570" s="355">
        <f t="shared" si="73"/>
        <v>0</v>
      </c>
      <c r="I1570" s="355">
        <f>H1570+J1570-K1570</f>
        <v>0</v>
      </c>
      <c r="J1570" s="355"/>
      <c r="K1570" s="355"/>
      <c r="L1570" s="367"/>
      <c r="M1570" s="332"/>
      <c r="N1570" s="340"/>
      <c r="O1570" s="341"/>
    </row>
    <row r="1571" spans="1:15" ht="16.2">
      <c r="A1571" s="288"/>
      <c r="B1571" s="417" t="s">
        <v>1155</v>
      </c>
      <c r="C1571" s="388" t="str">
        <f>IF(OR(I1571&lt;&gt;0,H1571&lt;&gt;0),"x"," ")</f>
        <v xml:space="preserve"> </v>
      </c>
      <c r="D1571" s="338"/>
      <c r="E1571" s="358" t="str">
        <f>VLOOKUP($B1571,DG!A:D,DG!$C$2,)</f>
        <v>Cáp thép 3/8"</v>
      </c>
      <c r="F1571" s="594" t="str">
        <f>VLOOKUP($B1571,DG!A:D,DG!$D$2,)</f>
        <v>kg</v>
      </c>
      <c r="G1571" s="595">
        <f>[3]ppht!BF340</f>
        <v>0</v>
      </c>
      <c r="H1571" s="355">
        <f t="shared" si="73"/>
        <v>0</v>
      </c>
      <c r="I1571" s="355">
        <f>H1571+J1571-K1571</f>
        <v>0</v>
      </c>
      <c r="J1571" s="355"/>
      <c r="K1571" s="355"/>
      <c r="L1571" s="367"/>
      <c r="M1571" s="332"/>
      <c r="N1571" s="340"/>
      <c r="O1571" s="341"/>
    </row>
    <row r="1572" spans="1:15" ht="16.2">
      <c r="A1572" s="288"/>
      <c r="B1572" s="417" t="s">
        <v>1016</v>
      </c>
      <c r="C1572" s="388" t="str">
        <f>IF(OR(I1572&lt;&gt;0,H1572&lt;&gt;0),"x"," ")</f>
        <v xml:space="preserve"> </v>
      </c>
      <c r="D1572" s="338"/>
      <c r="E1572" s="358" t="str">
        <f>VLOOKUP($B1572,DG!A:D,DG!$C$2,)</f>
        <v>Ống nối dây cỡ 50mm2</v>
      </c>
      <c r="F1572" s="594" t="str">
        <f>VLOOKUP($B1572,DG!A:D,DG!$D$2,)</f>
        <v>cái</v>
      </c>
      <c r="G1572" s="595"/>
      <c r="H1572" s="355">
        <f t="shared" si="73"/>
        <v>0</v>
      </c>
      <c r="I1572" s="355">
        <f>H1572+J1572-K1572</f>
        <v>0</v>
      </c>
      <c r="J1572" s="355"/>
      <c r="K1572" s="355"/>
      <c r="L1572" s="367"/>
      <c r="M1572" s="332"/>
      <c r="N1572" s="340"/>
      <c r="O1572" s="341"/>
    </row>
    <row r="1573" spans="1:15" ht="16.2">
      <c r="A1573" s="288"/>
      <c r="B1573" s="417" t="s">
        <v>1017</v>
      </c>
      <c r="C1573" s="388" t="str">
        <f>IF(OR(I1573&lt;&gt;0,H1573&lt;&gt;0),"x"," ")</f>
        <v xml:space="preserve"> </v>
      </c>
      <c r="D1573" s="338"/>
      <c r="E1573" s="358" t="str">
        <f>VLOOKUP($B1573,DG!A:D,DG!$C$2,)</f>
        <v>Ống nối dây cỡ 70mm2</v>
      </c>
      <c r="F1573" s="594" t="str">
        <f>VLOOKUP($B1573,DG!A:D,DG!$D$2,)</f>
        <v>cái</v>
      </c>
      <c r="G1573" s="595">
        <f>ROUND(G1557/2000,0)</f>
        <v>0</v>
      </c>
      <c r="H1573" s="355">
        <f t="shared" si="73"/>
        <v>0</v>
      </c>
      <c r="I1573" s="355">
        <f>H1573+J1573-K1573</f>
        <v>0</v>
      </c>
      <c r="J1573" s="355"/>
      <c r="K1573" s="355"/>
      <c r="L1573" s="367"/>
      <c r="M1573" s="332"/>
      <c r="N1573" s="340"/>
      <c r="O1573" s="341"/>
    </row>
    <row r="1574" spans="1:15" ht="16.2">
      <c r="A1574" s="288"/>
      <c r="B1574" s="417" t="s">
        <v>1024</v>
      </c>
      <c r="C1574" s="388" t="str">
        <f>IF(OR(I1574&lt;&gt;0,H1574&lt;&gt;0),"x"," ")</f>
        <v xml:space="preserve"> </v>
      </c>
      <c r="D1574" s="338"/>
      <c r="E1574" s="358" t="str">
        <f>VLOOKUP($B1574,DG!A:D,DG!$C$2,)</f>
        <v>Biển số - Bảng nguy hiểm</v>
      </c>
      <c r="F1574" s="594" t="str">
        <f>VLOOKUP($B1574,DG!A:D,DG!$D$2,)</f>
        <v>cái</v>
      </c>
      <c r="G1574" s="595"/>
      <c r="H1574" s="355">
        <f t="shared" si="73"/>
        <v>0</v>
      </c>
      <c r="I1574" s="355">
        <f>H1574+J1574-K1574</f>
        <v>0</v>
      </c>
      <c r="J1574" s="355"/>
      <c r="K1574" s="355"/>
      <c r="L1574" s="367"/>
      <c r="M1574" s="332"/>
      <c r="N1574" s="340"/>
      <c r="O1574" s="341"/>
    </row>
    <row r="1575" spans="1:15" ht="16.2">
      <c r="A1575" s="288"/>
      <c r="B1575" s="417" t="s">
        <v>1023</v>
      </c>
      <c r="C1575" s="388" t="str">
        <f>IF(OR(I1575&lt;&gt;0,H1575&lt;&gt;0),"x"," ")</f>
        <v xml:space="preserve"> </v>
      </c>
      <c r="D1575" s="338"/>
      <c r="E1575" s="358" t="str">
        <f>VLOOKUP($B1575,DG!A:D,DG!$C$2,)</f>
        <v xml:space="preserve">Dây nhôm buộc </v>
      </c>
      <c r="F1575" s="594" t="str">
        <f>VLOOKUP($B1575,DG!A:D,DG!$D$2,)</f>
        <v>kg</v>
      </c>
      <c r="G1575" s="595">
        <f>SUM(G1577:G1577)*5/1.4</f>
        <v>0</v>
      </c>
      <c r="H1575" s="355">
        <f t="shared" si="73"/>
        <v>0</v>
      </c>
      <c r="I1575" s="355">
        <f>H1575+J1575-K1575</f>
        <v>0</v>
      </c>
      <c r="J1575" s="355"/>
      <c r="K1575" s="355"/>
      <c r="L1575" s="367"/>
      <c r="M1575" s="332"/>
      <c r="N1575" s="340"/>
      <c r="O1575" s="341"/>
    </row>
    <row r="1576" spans="1:15" ht="16.2">
      <c r="A1576" s="288"/>
      <c r="B1576" s="417" t="s">
        <v>1129</v>
      </c>
      <c r="C1576" s="388" t="str">
        <f>IF(OR(I1576&lt;&gt;0,H1576&lt;&gt;0),"x"," ")</f>
        <v xml:space="preserve"> </v>
      </c>
      <c r="D1576" s="338" t="str">
        <f>VLOOKUP($B1576,DG!A:D,DG!$B$2,)</f>
        <v>06.6124</v>
      </c>
      <c r="E1576" s="366" t="str">
        <f>VLOOKUP($B1576,DG!A:D,DG!$C$2,)</f>
        <v>Kéo dây nhôm bọc 50mm2</v>
      </c>
      <c r="F1576" s="594" t="str">
        <f>VLOOKUP($B1576,DG!A:D,DG!$D$2,)</f>
        <v>km</v>
      </c>
      <c r="G1576" s="595">
        <f>ROUND(D1558/1000,2)</f>
        <v>0</v>
      </c>
      <c r="H1576" s="355"/>
      <c r="I1576" s="355">
        <f>H1576+J1576-K1576</f>
        <v>0</v>
      </c>
      <c r="J1576" s="355"/>
      <c r="K1576" s="355"/>
      <c r="L1576" s="367"/>
      <c r="M1576" s="332"/>
      <c r="N1576" s="340"/>
      <c r="O1576" s="341"/>
    </row>
    <row r="1577" spans="1:15" ht="16.2">
      <c r="A1577" s="288"/>
      <c r="B1577" s="417" t="s">
        <v>1034</v>
      </c>
      <c r="C1577" s="388" t="str">
        <f>IF(OR(I1577&lt;&gt;0,H1577&lt;&gt;0),"x"," ")</f>
        <v xml:space="preserve"> </v>
      </c>
      <c r="D1577" s="338" t="str">
        <f>VLOOKUP($B1577,DG!A:D,DG!$B$2,)</f>
        <v>06.6105</v>
      </c>
      <c r="E1577" s="366" t="str">
        <f>VLOOKUP($B1577,DG!A:D,DG!$C$2,)</f>
        <v>Kéo dây nhôm bọc 70mm2</v>
      </c>
      <c r="F1577" s="594" t="str">
        <f>VLOOKUP($B1577,DG!A:D,DG!$D$2,)</f>
        <v>km</v>
      </c>
      <c r="G1577" s="595">
        <f>ROUND(D1557/1000,2)</f>
        <v>0</v>
      </c>
      <c r="H1577" s="355"/>
      <c r="I1577" s="355">
        <f>H1577+J1577-K1577</f>
        <v>0</v>
      </c>
      <c r="J1577" s="355"/>
      <c r="K1577" s="355"/>
      <c r="L1577" s="367"/>
      <c r="M1577" s="332"/>
      <c r="N1577" s="340"/>
      <c r="O1577" s="341"/>
    </row>
    <row r="1578" spans="1:15" ht="16.2">
      <c r="A1578" s="288"/>
      <c r="B1578" s="417" t="s">
        <v>1025</v>
      </c>
      <c r="C1578" s="388" t="str">
        <f>IF(OR(I1578&lt;&gt;0,H1578&lt;&gt;0),"x"," ")</f>
        <v xml:space="preserve"> </v>
      </c>
      <c r="D1578" s="338" t="str">
        <f>VLOOKUP($B1578,DG!A:D,DG!$B$2,)</f>
        <v>06.6114</v>
      </c>
      <c r="E1578" s="366" t="str">
        <f>VLOOKUP($B1578,DG!A:D,DG!$C$2,)</f>
        <v>Kéo dây nhôm lõi thép cỡ dây 50mm2</v>
      </c>
      <c r="F1578" s="594" t="str">
        <f>VLOOKUP($B1578,DG!A:D,DG!$D$2,)</f>
        <v>km</v>
      </c>
      <c r="G1578" s="595">
        <f>ROUND(D1559/1000,2)</f>
        <v>0</v>
      </c>
      <c r="H1578" s="355"/>
      <c r="I1578" s="355">
        <f>H1578+J1578-K1578</f>
        <v>0</v>
      </c>
      <c r="J1578" s="355"/>
      <c r="K1578" s="355"/>
      <c r="L1578" s="367"/>
      <c r="M1578" s="332"/>
      <c r="N1578" s="340"/>
      <c r="O1578" s="341"/>
    </row>
    <row r="1579" spans="1:15" ht="16.2">
      <c r="A1579" s="288"/>
      <c r="B1579" s="351" t="s">
        <v>1249</v>
      </c>
      <c r="C1579" s="388" t="str">
        <f>IF(OR(I1579&lt;&gt;0,H1579&lt;&gt;0),"x"," ")</f>
        <v xml:space="preserve"> </v>
      </c>
      <c r="D1579" s="338" t="str">
        <f>VLOOKUP($B1579,DG!A:D,DG!$B$2,)</f>
        <v>06.1211</v>
      </c>
      <c r="E1579" s="366" t="str">
        <f>VLOOKUP($B1579,DG!A:D,DG!$C$2,)</f>
        <v>Lắp rack sứ + sứ ống chỉ</v>
      </c>
      <c r="F1579" s="594" t="str">
        <f>VLOOKUP($B1579,DG!A:D,DG!$D$2,)</f>
        <v>bộ</v>
      </c>
      <c r="G1579" s="595">
        <f>G1563</f>
        <v>0</v>
      </c>
      <c r="H1579" s="355"/>
      <c r="I1579" s="355">
        <f>H1579+J1579-K1579</f>
        <v>0</v>
      </c>
      <c r="J1579" s="355"/>
      <c r="K1579" s="355"/>
      <c r="L1579" s="367"/>
      <c r="M1579" s="332"/>
      <c r="N1579" s="340"/>
      <c r="O1579" s="341"/>
    </row>
    <row r="1580" spans="1:15" ht="16.2">
      <c r="A1580" s="288"/>
      <c r="B1580" s="351" t="s">
        <v>1239</v>
      </c>
      <c r="C1580" s="388" t="str">
        <f>IF(OR(I1580&lt;&gt;0,H1580&lt;&gt;0),"x"," ")</f>
        <v xml:space="preserve"> </v>
      </c>
      <c r="D1580" s="338" t="str">
        <f>VLOOKUP($B1580,DG!A:D,DG!$B$2,)</f>
        <v>06.1213</v>
      </c>
      <c r="E1580" s="366" t="str">
        <f>VLOOKUP($B1580,DG!A:D,DG!$C$2,)</f>
        <v>Lắp rack 2 sứ + sứ ống chỉ</v>
      </c>
      <c r="F1580" s="594" t="str">
        <f>VLOOKUP($B1580,DG!A:D,DG!$D$2,)</f>
        <v>bộ</v>
      </c>
      <c r="G1580" s="595">
        <f>G1564</f>
        <v>0</v>
      </c>
      <c r="H1580" s="355"/>
      <c r="I1580" s="355">
        <f>H1580+J1580-K1580</f>
        <v>0</v>
      </c>
      <c r="J1580" s="355"/>
      <c r="K1580" s="355"/>
      <c r="L1580" s="367"/>
      <c r="M1580" s="332"/>
      <c r="N1580" s="340"/>
      <c r="O1580" s="341"/>
    </row>
    <row r="1581" spans="1:15" ht="16.2">
      <c r="A1581" s="288"/>
      <c r="B1581" s="351" t="s">
        <v>1048</v>
      </c>
      <c r="C1581" s="388" t="str">
        <f>IF(OR(I1581&lt;&gt;0,H1581&lt;&gt;0),"x"," ")</f>
        <v xml:space="preserve"> </v>
      </c>
      <c r="D1581" s="338" t="str">
        <f>VLOOKUP($B1581,DG!A:D,DG!$B$2,)</f>
        <v>06.1214</v>
      </c>
      <c r="E1581" s="366" t="str">
        <f>VLOOKUP($B1581,DG!A:D,DG!$C$2,)</f>
        <v>Lắp rack 3 sứ + sứ ống chỉ</v>
      </c>
      <c r="F1581" s="594" t="str">
        <f>VLOOKUP($B1581,DG!A:D,DG!$D$2,)</f>
        <v>bộ</v>
      </c>
      <c r="G1581" s="595">
        <f>G1565</f>
        <v>0</v>
      </c>
      <c r="H1581" s="355"/>
      <c r="I1581" s="355">
        <f>H1581+J1581-K1581</f>
        <v>0</v>
      </c>
      <c r="J1581" s="355"/>
      <c r="K1581" s="355"/>
      <c r="L1581" s="367"/>
      <c r="M1581" s="332"/>
      <c r="N1581" s="340"/>
      <c r="O1581" s="341"/>
    </row>
    <row r="1582" spans="1:15" ht="16.2">
      <c r="A1582" s="288"/>
      <c r="B1582" s="351" t="s">
        <v>1240</v>
      </c>
      <c r="C1582" s="388" t="str">
        <f>IF(OR(I1582&lt;&gt;0,H1582&lt;&gt;0),"x"," ")</f>
        <v xml:space="preserve"> </v>
      </c>
      <c r="D1582" s="338" t="str">
        <f>VLOOKUP($B1582,DG!A:D,DG!$B$2,)</f>
        <v>06.1215</v>
      </c>
      <c r="E1582" s="366" t="str">
        <f>VLOOKUP($B1582,DG!A:D,DG!$C$2,)</f>
        <v>Lắp rack 4 sứ + sứ ống chỉ</v>
      </c>
      <c r="F1582" s="594" t="str">
        <f>VLOOKUP($B1582,DG!A:D,DG!$D$2,)</f>
        <v>bộ</v>
      </c>
      <c r="G1582" s="595">
        <f>G1566</f>
        <v>0</v>
      </c>
      <c r="H1582" s="355"/>
      <c r="I1582" s="355">
        <f>H1582+J1582-K1582</f>
        <v>0</v>
      </c>
      <c r="J1582" s="355"/>
      <c r="K1582" s="355"/>
      <c r="L1582" s="367"/>
      <c r="M1582" s="332"/>
      <c r="N1582" s="340"/>
      <c r="O1582" s="341"/>
    </row>
    <row r="1583" spans="1:15" ht="16.2">
      <c r="A1583" s="288"/>
      <c r="B1583" s="351" t="s">
        <v>1241</v>
      </c>
      <c r="C1583" s="388" t="str">
        <f>IF(OR(I1583&lt;&gt;0,H1583&lt;&gt;0),"x"," ")</f>
        <v xml:space="preserve"> </v>
      </c>
      <c r="D1583" s="338" t="str">
        <f>VLOOKUP($B1583,DG!A:D,DG!$B$2,)</f>
        <v>06.2070</v>
      </c>
      <c r="E1583" s="358" t="str">
        <f>VLOOKUP($B1583,DG!A:D,DG!$C$2,)</f>
        <v>Sơn biển số- bảng nguy hiểm</v>
      </c>
      <c r="F1583" s="594" t="str">
        <f>VLOOKUP($B1583,DG!A:D,DG!$D$2,)</f>
        <v>cái</v>
      </c>
      <c r="G1583" s="595">
        <f>G1574</f>
        <v>0</v>
      </c>
      <c r="H1583" s="355"/>
      <c r="I1583" s="355">
        <f>H1583+J1583-K1583</f>
        <v>0</v>
      </c>
      <c r="J1583" s="355"/>
      <c r="K1583" s="355"/>
      <c r="L1583" s="367"/>
      <c r="M1583" s="332"/>
      <c r="N1583" s="340"/>
      <c r="O1583" s="341"/>
    </row>
    <row r="1584" spans="1:15" ht="16.2">
      <c r="A1584" s="288"/>
      <c r="B1584" s="351" t="s">
        <v>1060</v>
      </c>
      <c r="C1584" s="388" t="str">
        <f>IF(OR(I1584&lt;&gt;0,H1584&lt;&gt;0),"x"," ")</f>
        <v xml:space="preserve"> </v>
      </c>
      <c r="D1584" s="338" t="str">
        <f>VLOOKUP($B1584,DG!A:D,DG!$B$2,)</f>
        <v>02.1122</v>
      </c>
      <c r="E1584" s="366" t="str">
        <f>VLOOKUP($B1584,DG!A:D,DG!$C$2,)</f>
        <v>Bốc dỡ dây</v>
      </c>
      <c r="F1584" s="594" t="str">
        <f>VLOOKUP($B1584,DG!A:D,DG!$D$2,)</f>
        <v>tấn</v>
      </c>
      <c r="G1584" s="595">
        <f>G1587</f>
        <v>0</v>
      </c>
      <c r="H1584" s="355"/>
      <c r="I1584" s="355">
        <f>H1584+J1584-K1584</f>
        <v>0</v>
      </c>
      <c r="J1584" s="355"/>
      <c r="K1584" s="355"/>
      <c r="L1584" s="367"/>
      <c r="M1584" s="332"/>
      <c r="N1584" s="340"/>
      <c r="O1584" s="341"/>
    </row>
    <row r="1585" spans="1:15" ht="16.2">
      <c r="A1585" s="288"/>
      <c r="B1585" s="351" t="s">
        <v>604</v>
      </c>
      <c r="C1585" s="388" t="str">
        <f>IF(OR(I1585&lt;&gt;0,H1585&lt;&gt;0),"x"," ")</f>
        <v xml:space="preserve"> </v>
      </c>
      <c r="D1585" s="338" t="str">
        <f>VLOOKUP($B1585,DG!A:D,DG!$B$2,)</f>
        <v>02.1120</v>
      </c>
      <c r="E1585" s="366" t="str">
        <f>VLOOKUP($B1585,DG!A:D,DG!$C$2,)</f>
        <v>Bốc dỡ phụ kiện</v>
      </c>
      <c r="F1585" s="594" t="str">
        <f>VLOOKUP($B1585,DG!A:D,DG!$D$2,)</f>
        <v>tấn</v>
      </c>
      <c r="G1585" s="595">
        <f>G1586</f>
        <v>0</v>
      </c>
      <c r="H1585" s="355"/>
      <c r="I1585" s="355">
        <f>H1585+J1585-K1585</f>
        <v>0</v>
      </c>
      <c r="J1585" s="355"/>
      <c r="K1585" s="355"/>
      <c r="L1585" s="367"/>
      <c r="M1585" s="332"/>
      <c r="N1585" s="340"/>
      <c r="O1585" s="341"/>
    </row>
    <row r="1586" spans="1:15" ht="16.2">
      <c r="A1586" s="288"/>
      <c r="B1586" s="371" t="s">
        <v>827</v>
      </c>
      <c r="C1586" s="388" t="str">
        <f>IF(OR(I1586&lt;&gt;0,H1586&lt;&gt;0),"x"," ")</f>
        <v xml:space="preserve"> </v>
      </c>
      <c r="D1586" s="338" t="str">
        <f>VLOOKUP($B1586,DG!A:C,2,)</f>
        <v>02.1421</v>
      </c>
      <c r="E1586" s="366" t="str">
        <f>VLOOKUP($B1586,DG!A:C,3,)</f>
        <v>V/c phụ kiện vào vị trí (cự ly &lt;=100m)</v>
      </c>
      <c r="F1586" s="594" t="str">
        <f>VLOOKUP($B1586,DG!A:D,4,0)</f>
        <v>tấn</v>
      </c>
      <c r="G1586" s="595">
        <f>(G1563*1+G1564*2+G1565*3+G1566*4)/1000</f>
        <v>0</v>
      </c>
      <c r="H1586" s="355"/>
      <c r="I1586" s="355">
        <f>H1586+J1586-K1586</f>
        <v>0</v>
      </c>
      <c r="J1586" s="355"/>
      <c r="K1586" s="355"/>
      <c r="L1586" s="367"/>
      <c r="M1586" s="332"/>
      <c r="N1586" s="340"/>
      <c r="O1586" s="341"/>
    </row>
    <row r="1587" spans="1:15" ht="16.2">
      <c r="A1587" s="288"/>
      <c r="B1587" s="371" t="s">
        <v>1061</v>
      </c>
      <c r="C1587" s="388" t="str">
        <f>IF(OR(I1587&lt;&gt;0,H1587&lt;&gt;0),"x"," ")</f>
        <v xml:space="preserve"> </v>
      </c>
      <c r="D1587" s="338" t="str">
        <f>VLOOKUP($B1587,DG!A:C,2,)</f>
        <v>02.1441</v>
      </c>
      <c r="E1587" s="366" t="str">
        <f>VLOOKUP($B1587,DG!A:C,3,)</f>
        <v>V/c dây vào vị trí (cự ly &lt;=100m)</v>
      </c>
      <c r="F1587" s="594" t="str">
        <f>VLOOKUP($B1587,DG!A:D,4,0)</f>
        <v>tấn</v>
      </c>
      <c r="G1587" s="595">
        <f>ROUND((G1557*0.308+G1558*0.229)*1.05/1000,2)</f>
        <v>0</v>
      </c>
      <c r="H1587" s="355"/>
      <c r="I1587" s="355">
        <f>H1587+J1587-K1587</f>
        <v>0</v>
      </c>
      <c r="J1587" s="355"/>
      <c r="K1587" s="355"/>
      <c r="L1587" s="367"/>
      <c r="M1587" s="332"/>
      <c r="N1587" s="340"/>
      <c r="O1587" s="341"/>
    </row>
    <row r="1588" spans="1:15" ht="16.2">
      <c r="A1588" s="288"/>
      <c r="B1588" s="356" t="s">
        <v>901</v>
      </c>
      <c r="C1588" s="388" t="str">
        <f>IF(OR(I1588&lt;&gt;0,H1588&lt;&gt;0),"x"," ")</f>
        <v xml:space="preserve"> </v>
      </c>
      <c r="D1588" s="338" t="str">
        <f>VLOOKUP($B1588,DG!A:C,2,)</f>
        <v>02.1482</v>
      </c>
      <c r="E1588" s="366" t="str">
        <f>VLOOKUP($B1588,DG!A:C,3,)</f>
        <v>V/c dụng cụ thi công vào vị trí (cự ly &lt;=100m)</v>
      </c>
      <c r="F1588" s="594" t="str">
        <f>VLOOKUP($B1588,DG!A:D,4,0)</f>
        <v>tấn</v>
      </c>
      <c r="G1588" s="595">
        <f>IF(G1587&lt;&gt;0,2,0)</f>
        <v>0</v>
      </c>
      <c r="H1588" s="355"/>
      <c r="I1588" s="355">
        <f>H1588+J1588-K1588</f>
        <v>0</v>
      </c>
      <c r="J1588" s="355"/>
      <c r="K1588" s="355"/>
      <c r="L1588" s="367"/>
      <c r="M1588" s="332"/>
      <c r="N1588" s="340"/>
      <c r="O1588" s="341"/>
    </row>
    <row r="1589" spans="1:15" ht="16.2">
      <c r="A1589" s="342" t="s">
        <v>438</v>
      </c>
      <c r="B1589" s="343" t="s">
        <v>438</v>
      </c>
      <c r="C1589" s="388" t="str">
        <f>IF(OR(I1589&lt;&gt;0,H1589&lt;&gt;0),"x"," ")</f>
        <v xml:space="preserve"> </v>
      </c>
      <c r="D1589" s="347" t="s">
        <v>1250</v>
      </c>
      <c r="E1589" s="346" t="s">
        <v>1251</v>
      </c>
      <c r="F1589" s="593" t="s">
        <v>934</v>
      </c>
      <c r="G1589" s="349"/>
      <c r="H1589" s="349">
        <f>IFERROR(HLOOKUP(B1589,'BKT-ThuHoi'!$5:$183,179,0),0)</f>
        <v>0</v>
      </c>
      <c r="I1589" s="350"/>
      <c r="J1589" s="350"/>
      <c r="K1589" s="350"/>
      <c r="L1589" s="348"/>
      <c r="M1589" s="332"/>
      <c r="N1589" s="340"/>
      <c r="O1589" s="341"/>
    </row>
    <row r="1590" spans="1:15" ht="16.2">
      <c r="A1590" s="288"/>
      <c r="B1590" s="351" t="s">
        <v>1252</v>
      </c>
      <c r="C1590" s="388" t="str">
        <f>IF(OR(I1590&lt;&gt;0,H1590&lt;&gt;0),"x"," ")</f>
        <v xml:space="preserve"> </v>
      </c>
      <c r="D1590" s="410">
        <f>[3]PPHTCS!C74</f>
        <v>0</v>
      </c>
      <c r="E1590" s="358" t="str">
        <f>VLOOKUP($B1590,DG!A:D,DG!$C$2,)</f>
        <v>Cáp Triplex 3x16</v>
      </c>
      <c r="F1590" s="594" t="str">
        <f>VLOOKUP($B1590,DG!A:D,DG!$D$2,)</f>
        <v>m</v>
      </c>
      <c r="G1590" s="595">
        <f>ROUND(D1590*1.02,0)</f>
        <v>0</v>
      </c>
      <c r="H1590" s="355">
        <f t="shared" ref="H1590:H1636" si="74">G1590</f>
        <v>0</v>
      </c>
      <c r="I1590" s="355">
        <f>H1590+J1590-K1590</f>
        <v>0</v>
      </c>
      <c r="J1590" s="355"/>
      <c r="K1590" s="355"/>
      <c r="L1590" s="367"/>
      <c r="M1590" s="332"/>
      <c r="N1590" s="340"/>
      <c r="O1590" s="341"/>
    </row>
    <row r="1591" spans="1:15" ht="16.2">
      <c r="A1591" s="288"/>
      <c r="B1591" s="351" t="s">
        <v>1253</v>
      </c>
      <c r="C1591" s="388" t="str">
        <f>IF(OR(I1591&lt;&gt;0,H1591&lt;&gt;0),"x"," ")</f>
        <v xml:space="preserve"> </v>
      </c>
      <c r="D1591" s="410">
        <f>[3]PPHTCS!C75</f>
        <v>0</v>
      </c>
      <c r="E1591" s="358" t="str">
        <f>VLOOKUP($B1591,DG!A:D,DG!$C$2,)</f>
        <v>Cáp Quadruplex 4x11</v>
      </c>
      <c r="F1591" s="594" t="str">
        <f>VLOOKUP($B1591,DG!A:D,DG!$D$2,)</f>
        <v>m</v>
      </c>
      <c r="G1591" s="595">
        <f>ROUND(D1591*1.02,0)</f>
        <v>0</v>
      </c>
      <c r="H1591" s="355">
        <f t="shared" si="74"/>
        <v>0</v>
      </c>
      <c r="I1591" s="355">
        <f>H1591+J1591-K1591</f>
        <v>0</v>
      </c>
      <c r="J1591" s="355"/>
      <c r="K1591" s="355"/>
      <c r="L1591" s="367"/>
      <c r="M1591" s="332"/>
      <c r="N1591" s="340"/>
      <c r="O1591" s="341"/>
    </row>
    <row r="1592" spans="1:15" ht="16.2">
      <c r="A1592" s="288"/>
      <c r="B1592" s="351" t="s">
        <v>1254</v>
      </c>
      <c r="C1592" s="388" t="str">
        <f>IF(OR(I1592&lt;&gt;0,H1592&lt;&gt;0),"x"," ")</f>
        <v xml:space="preserve"> </v>
      </c>
      <c r="D1592" s="410">
        <f>[3]PPHTCS!C76</f>
        <v>0</v>
      </c>
      <c r="E1592" s="358" t="str">
        <f>VLOOKUP($B1592,DG!A:D,DG!$C$2,)</f>
        <v>Cáp Quadruplex 4x16</v>
      </c>
      <c r="F1592" s="594" t="str">
        <f>VLOOKUP($B1592,DG!A:D,DG!$D$2,)</f>
        <v>m</v>
      </c>
      <c r="G1592" s="595">
        <f>ROUND(D1592*1.02,0)</f>
        <v>0</v>
      </c>
      <c r="H1592" s="355">
        <f t="shared" si="74"/>
        <v>0</v>
      </c>
      <c r="I1592" s="355">
        <f>H1592+J1592-K1592</f>
        <v>0</v>
      </c>
      <c r="J1592" s="355"/>
      <c r="K1592" s="355"/>
      <c r="L1592" s="367"/>
      <c r="M1592" s="332"/>
      <c r="N1592" s="340"/>
      <c r="O1592" s="341"/>
    </row>
    <row r="1593" spans="1:15" ht="16.2">
      <c r="A1593" s="288"/>
      <c r="B1593" s="351" t="s">
        <v>1255</v>
      </c>
      <c r="C1593" s="388" t="str">
        <f>IF(OR(I1593&lt;&gt;0,H1593&lt;&gt;0),"x"," ")</f>
        <v xml:space="preserve"> </v>
      </c>
      <c r="D1593" s="410">
        <f>[3]PPHTCS!C77</f>
        <v>0</v>
      </c>
      <c r="E1593" s="358" t="str">
        <f>VLOOKUP($B1593,DG!A:D,DG!$C$2,)</f>
        <v>Cáp nhôm ABC 4x50mm2</v>
      </c>
      <c r="F1593" s="594" t="str">
        <f>VLOOKUP($B1593,DG!A:D,DG!$D$2,)</f>
        <v>mét</v>
      </c>
      <c r="G1593" s="595">
        <f>ROUND(D1593*1.02,0)</f>
        <v>0</v>
      </c>
      <c r="H1593" s="355">
        <f t="shared" si="74"/>
        <v>0</v>
      </c>
      <c r="I1593" s="355">
        <f>H1593+J1593-K1593</f>
        <v>0</v>
      </c>
      <c r="J1593" s="355"/>
      <c r="K1593" s="355"/>
      <c r="L1593" s="367"/>
      <c r="M1593" s="332"/>
      <c r="N1593" s="340"/>
      <c r="O1593" s="341"/>
    </row>
    <row r="1594" spans="1:15" ht="16.2">
      <c r="A1594" s="288"/>
      <c r="B1594" s="351" t="s">
        <v>1256</v>
      </c>
      <c r="C1594" s="388" t="str">
        <f>IF(OR(I1594&lt;&gt;0,H1594&lt;&gt;0),"x"," ")</f>
        <v xml:space="preserve"> </v>
      </c>
      <c r="D1594" s="410"/>
      <c r="E1594" s="358" t="str">
        <f>VLOOKUP($B1594,DG!A:D,DG!$C$2,)</f>
        <v>Cáp đồng bọc CV16</v>
      </c>
      <c r="F1594" s="594" t="str">
        <f>VLOOKUP($B1594,DG!A:D,DG!$D$2,)</f>
        <v>mét</v>
      </c>
      <c r="G1594" s="595">
        <f>ROUND(D1594*1.05,0)</f>
        <v>0</v>
      </c>
      <c r="H1594" s="355">
        <f t="shared" si="74"/>
        <v>0</v>
      </c>
      <c r="I1594" s="355">
        <f>H1594+J1594-K1594</f>
        <v>0</v>
      </c>
      <c r="J1594" s="355"/>
      <c r="K1594" s="355"/>
      <c r="L1594" s="367"/>
      <c r="M1594" s="332"/>
      <c r="N1594" s="340"/>
      <c r="O1594" s="341"/>
    </row>
    <row r="1595" spans="1:15" ht="16.2">
      <c r="A1595" s="288"/>
      <c r="B1595" s="351" t="s">
        <v>1257</v>
      </c>
      <c r="C1595" s="388" t="str">
        <f>IF(OR(I1595&lt;&gt;0,H1595&lt;&gt;0),"x"," ")</f>
        <v xml:space="preserve"> </v>
      </c>
      <c r="D1595" s="410"/>
      <c r="E1595" s="358" t="str">
        <f>VLOOKUP($B1595,DG!A:D,DG!$C$2,)&amp;": 8m/ñeøn"</f>
        <v>Cáp đồng mềm CV2,5: 8m/ñeøn</v>
      </c>
      <c r="F1595" s="594" t="str">
        <f>VLOOKUP($B1595,DG!A:D,DG!$D$2,)</f>
        <v>mét</v>
      </c>
      <c r="G1595" s="595">
        <f>ROUND((G1598+G1597*2)*8*1.02,0)</f>
        <v>0</v>
      </c>
      <c r="H1595" s="355">
        <f t="shared" si="74"/>
        <v>0</v>
      </c>
      <c r="I1595" s="355">
        <f>H1595+J1595-K1595</f>
        <v>0</v>
      </c>
      <c r="J1595" s="355"/>
      <c r="K1595" s="355"/>
      <c r="L1595" s="367"/>
      <c r="M1595" s="332"/>
      <c r="N1595" s="340"/>
      <c r="O1595" s="341"/>
    </row>
    <row r="1596" spans="1:15" ht="16.2">
      <c r="A1596" s="288"/>
      <c r="B1596" s="351" t="s">
        <v>1258</v>
      </c>
      <c r="C1596" s="388" t="str">
        <f>IF(OR(I1596&lt;&gt;0,H1596&lt;&gt;0),"x"," ")</f>
        <v xml:space="preserve"> </v>
      </c>
      <c r="D1596" s="410"/>
      <c r="E1596" s="358" t="str">
        <f>VLOOKUP($B1596,DG!A:D,DG!$C$2,)&amp;": 5m/ñeøn"</f>
        <v>Cáp CVV 2x2,5mm2  : 5m/ñeøn</v>
      </c>
      <c r="F1596" s="594" t="str">
        <f>VLOOKUP($B1596,DG!A:D,DG!$D$2,)</f>
        <v>mét</v>
      </c>
      <c r="G1596" s="595">
        <f>ROUND(G1599*5*1.02,0)</f>
        <v>0</v>
      </c>
      <c r="H1596" s="355">
        <f t="shared" si="74"/>
        <v>0</v>
      </c>
      <c r="I1596" s="355">
        <f>H1596+J1596-K1596</f>
        <v>0</v>
      </c>
      <c r="J1596" s="355"/>
      <c r="K1596" s="355"/>
      <c r="L1596" s="367"/>
      <c r="M1596" s="332"/>
      <c r="N1596" s="340"/>
      <c r="O1596" s="341"/>
    </row>
    <row r="1597" spans="1:15" ht="16.2">
      <c r="A1597" s="288"/>
      <c r="B1597" s="351" t="s">
        <v>1259</v>
      </c>
      <c r="C1597" s="388" t="str">
        <f>IF(OR(I1597&lt;&gt;0,H1597&lt;&gt;0),"x"," ")</f>
        <v xml:space="preserve"> </v>
      </c>
      <c r="D1597" s="410"/>
      <c r="E1597" s="425" t="str">
        <f>VLOOKUP($B1597,DG!A:D,DG!$C$2,)</f>
        <v>Cần đèn STK D60 đôi cao 2m vươn 1,5m nghiêng 15 độ</v>
      </c>
      <c r="F1597" s="594" t="str">
        <f>VLOOKUP($B1597,DG!A:D,DG!$D$2,)</f>
        <v>cần</v>
      </c>
      <c r="G1597" s="595">
        <f>[3]PPHTCS!Z69</f>
        <v>0</v>
      </c>
      <c r="H1597" s="355">
        <f t="shared" si="74"/>
        <v>0</v>
      </c>
      <c r="I1597" s="355">
        <f>H1597+J1597-K1597</f>
        <v>0</v>
      </c>
      <c r="J1597" s="355"/>
      <c r="K1597" s="355"/>
      <c r="L1597" s="367"/>
      <c r="M1597" s="332"/>
      <c r="N1597" s="340"/>
      <c r="O1597" s="341"/>
    </row>
    <row r="1598" spans="1:15" ht="16.2">
      <c r="A1598" s="288"/>
      <c r="B1598" s="351" t="s">
        <v>1260</v>
      </c>
      <c r="C1598" s="388" t="str">
        <f>IF(OR(I1598&lt;&gt;0,H1598&lt;&gt;0),"x"," ")</f>
        <v xml:space="preserve"> </v>
      </c>
      <c r="D1598" s="338"/>
      <c r="E1598" s="358" t="str">
        <f>VLOOKUP($B1598,DG!A:D,DG!$C$2,)</f>
        <v>Cần đèn STK D60 đơn cao 1m vươn 1,8m nghiêng 15 độ + chụp đầu trụ</v>
      </c>
      <c r="F1598" s="594" t="str">
        <f>VLOOKUP($B1598,DG!A:D,DG!$D$2,)</f>
        <v>cần</v>
      </c>
      <c r="G1598" s="595">
        <f>[3]PPHTCS!AA69</f>
        <v>0</v>
      </c>
      <c r="H1598" s="355">
        <f t="shared" si="74"/>
        <v>0</v>
      </c>
      <c r="I1598" s="355">
        <f>H1598+J1598-K1598</f>
        <v>0</v>
      </c>
      <c r="J1598" s="355"/>
      <c r="K1598" s="355"/>
      <c r="L1598" s="367"/>
      <c r="M1598" s="332"/>
      <c r="N1598" s="340"/>
      <c r="O1598" s="341"/>
    </row>
    <row r="1599" spans="1:15" ht="16.2">
      <c r="A1599" s="288"/>
      <c r="B1599" s="351" t="s">
        <v>1261</v>
      </c>
      <c r="C1599" s="388" t="str">
        <f>IF(OR(I1599&lt;&gt;0,H1599&lt;&gt;0),"x"," ")</f>
        <v xml:space="preserve"> </v>
      </c>
      <c r="D1599" s="338"/>
      <c r="E1599" s="358" t="str">
        <f>VLOOKUP($B1599,DG!A:D,DG!$C$2,)</f>
        <v>Cần đèn STK D60 đơn cao 1,7m vươn 2,8m (CĐT cung cấp)</v>
      </c>
      <c r="F1599" s="594" t="str">
        <f>VLOOKUP($B1599,DG!A:D,DG!$D$2,)</f>
        <v>cần</v>
      </c>
      <c r="G1599" s="595">
        <f>[3]PPHTCS!AB69</f>
        <v>0</v>
      </c>
      <c r="H1599" s="355">
        <f t="shared" si="74"/>
        <v>0</v>
      </c>
      <c r="I1599" s="355">
        <f>H1599+J1599-K1599</f>
        <v>0</v>
      </c>
      <c r="J1599" s="355"/>
      <c r="K1599" s="355"/>
      <c r="L1599" s="367"/>
      <c r="M1599" s="332"/>
      <c r="N1599" s="340"/>
      <c r="O1599" s="341"/>
    </row>
    <row r="1600" spans="1:15" ht="16.2">
      <c r="A1600" s="288"/>
      <c r="B1600" s="351" t="s">
        <v>1262</v>
      </c>
      <c r="C1600" s="388" t="str">
        <f>IF(OR(I1600&lt;&gt;0,H1600&lt;&gt;0),"x"," ")</f>
        <v xml:space="preserve"> </v>
      </c>
      <c r="D1600" s="338"/>
      <c r="E1600" s="358" t="str">
        <f>VLOOKUP($B1600,DG!A:D,DG!$C$2,)</f>
        <v>Choá đèn 73FS 10 + bóng OSAM-250W + tụ điện + ballast</v>
      </c>
      <c r="F1600" s="594" t="str">
        <f>VLOOKUP($B1600,DG!A:D,DG!$D$2,)</f>
        <v>bộ</v>
      </c>
      <c r="G1600" s="595">
        <f>[3]PPHTCS!AD69</f>
        <v>0</v>
      </c>
      <c r="H1600" s="355">
        <f t="shared" si="74"/>
        <v>0</v>
      </c>
      <c r="I1600" s="355">
        <f>H1600+J1600-K1600</f>
        <v>0</v>
      </c>
      <c r="J1600" s="355"/>
      <c r="K1600" s="355"/>
      <c r="L1600" s="367"/>
      <c r="M1600" s="332"/>
      <c r="N1600" s="340"/>
      <c r="O1600" s="341"/>
    </row>
    <row r="1601" spans="1:15" ht="16.2">
      <c r="A1601" s="288"/>
      <c r="B1601" s="351" t="s">
        <v>1263</v>
      </c>
      <c r="C1601" s="388" t="str">
        <f>IF(OR(I1601&lt;&gt;0,H1601&lt;&gt;0),"x"," ")</f>
        <v xml:space="preserve"> </v>
      </c>
      <c r="D1601" s="363" t="str">
        <f>VLOOKUP($B1601,DG!A:D,DG!$B$2,)</f>
        <v>CS4.09.021</v>
      </c>
      <c r="E1601" s="366" t="str">
        <f>VLOOKUP($B1601,DG!A:D,DG!$C$2,)</f>
        <v>Tủ điều khiển chiếu sáng</v>
      </c>
      <c r="F1601" s="594" t="str">
        <f>VLOOKUP($B1601,DG!A:D,DG!$D$2,)</f>
        <v>cái</v>
      </c>
      <c r="G1601" s="595"/>
      <c r="H1601" s="355">
        <f t="shared" si="74"/>
        <v>0</v>
      </c>
      <c r="I1601" s="355">
        <f>H1601+J1601-K1601</f>
        <v>0</v>
      </c>
      <c r="J1601" s="355"/>
      <c r="K1601" s="355"/>
      <c r="L1601" s="367"/>
      <c r="M1601" s="332"/>
      <c r="N1601" s="340"/>
      <c r="O1601" s="341"/>
    </row>
    <row r="1602" spans="1:15" ht="16.2">
      <c r="A1602" s="288"/>
      <c r="B1602" s="351" t="s">
        <v>1220</v>
      </c>
      <c r="C1602" s="388" t="str">
        <f>IF(OR(I1602&lt;&gt;0,H1602&lt;&gt;0),"x"," ")</f>
        <v xml:space="preserve"> </v>
      </c>
      <c r="D1602" s="363"/>
      <c r="E1602" s="366" t="str">
        <f>VLOOKUP($B1602,DG!A:D,DG!$C$2,)</f>
        <v>Ống PVC D60x2,8mm</v>
      </c>
      <c r="F1602" s="594" t="str">
        <f>VLOOKUP($B1602,DG!A:D,DG!$D$2,)</f>
        <v>m</v>
      </c>
      <c r="G1602" s="595">
        <f>G1601*12</f>
        <v>0</v>
      </c>
      <c r="H1602" s="355">
        <f t="shared" si="74"/>
        <v>0</v>
      </c>
      <c r="I1602" s="355">
        <f>H1602+J1602-K1602</f>
        <v>0</v>
      </c>
      <c r="J1602" s="355"/>
      <c r="K1602" s="355"/>
      <c r="L1602" s="367"/>
      <c r="M1602" s="332"/>
      <c r="N1602" s="340"/>
      <c r="O1602" s="341"/>
    </row>
    <row r="1603" spans="1:15" ht="16.2">
      <c r="A1603" s="288"/>
      <c r="B1603" s="351" t="s">
        <v>1264</v>
      </c>
      <c r="C1603" s="388" t="str">
        <f>IF(OR(I1603&lt;&gt;0,H1603&lt;&gt;0),"x"," ")</f>
        <v xml:space="preserve"> </v>
      </c>
      <c r="D1603" s="363">
        <f>VLOOKUP($B1603,DG!A:D,DG!$B$2,)</f>
        <v>0</v>
      </c>
      <c r="E1603" s="366" t="str">
        <f>VLOOKUP($B1603,DG!A:D,DG!$C$2,)</f>
        <v>Co 90 độ PVC 60</v>
      </c>
      <c r="F1603" s="594" t="str">
        <f>VLOOKUP($B1603,DG!A:D,DG!$D$2,)</f>
        <v>cái</v>
      </c>
      <c r="G1603" s="595">
        <f>G1601*6</f>
        <v>0</v>
      </c>
      <c r="H1603" s="355">
        <f t="shared" si="74"/>
        <v>0</v>
      </c>
      <c r="I1603" s="355">
        <f>H1603+J1603-K1603</f>
        <v>0</v>
      </c>
      <c r="J1603" s="355"/>
      <c r="K1603" s="355"/>
      <c r="L1603" s="367"/>
      <c r="M1603" s="332"/>
      <c r="N1603" s="340"/>
      <c r="O1603" s="341"/>
    </row>
    <row r="1604" spans="1:15" ht="16.2">
      <c r="A1604" s="288"/>
      <c r="B1604" s="351" t="s">
        <v>1170</v>
      </c>
      <c r="C1604" s="388" t="str">
        <f>IF(OR(I1604&lt;&gt;0,H1604&lt;&gt;0),"x"," ")</f>
        <v xml:space="preserve"> </v>
      </c>
      <c r="D1604" s="363">
        <f>VLOOKUP($B1604,DG!A:D,DG!$B$2,)</f>
        <v>0</v>
      </c>
      <c r="E1604" s="366" t="str">
        <f>VLOOKUP($B1604,DG!A:D,DG!$C$2,)</f>
        <v>Cáp C/XLPE/DSTA/PVC -0.6/1kV-3x50+35mm2</v>
      </c>
      <c r="F1604" s="594" t="str">
        <f>VLOOKUP($B1604,DG!A:D,DG!$D$2,)</f>
        <v>mét</v>
      </c>
      <c r="G1604" s="595">
        <f>G1601*18</f>
        <v>0</v>
      </c>
      <c r="H1604" s="355">
        <f t="shared" si="74"/>
        <v>0</v>
      </c>
      <c r="I1604" s="355">
        <f>H1604+J1604-K1604</f>
        <v>0</v>
      </c>
      <c r="J1604" s="355"/>
      <c r="K1604" s="355"/>
      <c r="L1604" s="367"/>
      <c r="M1604" s="332"/>
      <c r="N1604" s="340"/>
      <c r="O1604" s="341"/>
    </row>
    <row r="1605" spans="1:15" ht="16.2">
      <c r="A1605" s="288"/>
      <c r="B1605" s="351" t="s">
        <v>1265</v>
      </c>
      <c r="C1605" s="388" t="str">
        <f>IF(OR(I1605&lt;&gt;0,H1605&lt;&gt;0),"x"," ")</f>
        <v xml:space="preserve"> </v>
      </c>
      <c r="D1605" s="363">
        <f>VLOOKUP($B1605,DG!A:D,DG!$B$2,)</f>
        <v>0</v>
      </c>
      <c r="E1605" s="366" t="str">
        <f>VLOOKUP($B1605,DG!A:D,DG!$C$2,)</f>
        <v>Đầu cáp ngầm hạ thế 3x50</v>
      </c>
      <c r="F1605" s="594" t="str">
        <f>VLOOKUP($B1605,DG!A:D,DG!$D$2,)</f>
        <v>cái</v>
      </c>
      <c r="G1605" s="595">
        <f>G1601*4</f>
        <v>0</v>
      </c>
      <c r="H1605" s="355">
        <f t="shared" si="74"/>
        <v>0</v>
      </c>
      <c r="I1605" s="355">
        <f>H1605+J1605-K1605</f>
        <v>0</v>
      </c>
      <c r="J1605" s="355"/>
      <c r="K1605" s="355"/>
      <c r="L1605" s="367"/>
      <c r="M1605" s="332"/>
      <c r="N1605" s="340"/>
      <c r="O1605" s="341"/>
    </row>
    <row r="1606" spans="1:15" ht="16.2">
      <c r="A1606" s="288"/>
      <c r="B1606" s="351" t="s">
        <v>1266</v>
      </c>
      <c r="C1606" s="388" t="str">
        <f>IF(OR(I1606&lt;&gt;0,H1606&lt;&gt;0),"x"," ")</f>
        <v xml:space="preserve"> </v>
      </c>
      <c r="D1606" s="363"/>
      <c r="E1606" s="366" t="str">
        <f>VLOOKUP($B1606,DG!A:D,DG!$C$2,)&amp;": ñaáu noái töø löôùi ABC vaøo tuû"</f>
        <v>Ghíp nối IPC 150-50: ñaáu noái töø löôùi ABC vaøo tuû</v>
      </c>
      <c r="F1606" s="594" t="str">
        <f>VLOOKUP($B1606,DG!A:D,DG!$D$2,)</f>
        <v>cái</v>
      </c>
      <c r="G1606" s="595">
        <f>G1601*4</f>
        <v>0</v>
      </c>
      <c r="H1606" s="355">
        <f>G1606</f>
        <v>0</v>
      </c>
      <c r="I1606" s="355">
        <f>H1606+J1606-K1606</f>
        <v>0</v>
      </c>
      <c r="J1606" s="355"/>
      <c r="K1606" s="355"/>
      <c r="L1606" s="367"/>
      <c r="M1606" s="332"/>
      <c r="N1606" s="340"/>
      <c r="O1606" s="341"/>
    </row>
    <row r="1607" spans="1:15" ht="16.2">
      <c r="A1607" s="288"/>
      <c r="B1607" s="351" t="s">
        <v>617</v>
      </c>
      <c r="C1607" s="388" t="str">
        <f>IF(OR(I1607&lt;&gt;0,H1607&lt;&gt;0),"x"," ")</f>
        <v xml:space="preserve"> </v>
      </c>
      <c r="D1607" s="363"/>
      <c r="E1607" s="366" t="str">
        <f>VLOOKUP($B1607,DG!A:D,DG!$C$2,)&amp;": ñaáu noái töø tuû leân löôùi chieáu saùng"</f>
        <v>Ghíp nối IPC 50-35: ñaáu noái töø tuû leân löôùi chieáu saùng</v>
      </c>
      <c r="F1607" s="594" t="str">
        <f>VLOOKUP($B1607,DG!A:D,DG!$D$2,)</f>
        <v>cái</v>
      </c>
      <c r="G1607" s="595">
        <f>G1606</f>
        <v>0</v>
      </c>
      <c r="H1607" s="355">
        <f>G1607</f>
        <v>0</v>
      </c>
      <c r="I1607" s="355">
        <f>H1607+J1607-K1607</f>
        <v>0</v>
      </c>
      <c r="J1607" s="355"/>
      <c r="K1607" s="355"/>
      <c r="L1607" s="367"/>
      <c r="M1607" s="332"/>
      <c r="N1607" s="340"/>
      <c r="O1607" s="341"/>
    </row>
    <row r="1608" spans="1:15" ht="16.2">
      <c r="A1608" s="288"/>
      <c r="B1608" s="351" t="s">
        <v>1267</v>
      </c>
      <c r="C1608" s="388" t="str">
        <f>IF(OR(I1608&lt;&gt;0,H1608&lt;&gt;0),"x"," ")</f>
        <v xml:space="preserve"> </v>
      </c>
      <c r="D1608" s="338" t="str">
        <f>VLOOKUP($B1608,DG!A:D,DG!$B$2,)</f>
        <v>03.4001</v>
      </c>
      <c r="E1608" s="358" t="str">
        <f>VLOOKUP($B1608,DG!A:D,DG!$C$2,)</f>
        <v>Đầu cosse ép Cu-Al 16mm2</v>
      </c>
      <c r="F1608" s="594" t="str">
        <f>VLOOKUP($B1608,DG!A:D,DG!$D$2,)</f>
        <v>cái</v>
      </c>
      <c r="G1608" s="595">
        <f>G1607*6</f>
        <v>0</v>
      </c>
      <c r="H1608" s="355">
        <f t="shared" si="74"/>
        <v>0</v>
      </c>
      <c r="I1608" s="355">
        <f>H1608+J1608-K1608</f>
        <v>0</v>
      </c>
      <c r="J1608" s="355"/>
      <c r="K1608" s="355"/>
      <c r="L1608" s="367"/>
      <c r="M1608" s="332"/>
      <c r="N1608" s="340"/>
      <c r="O1608" s="341"/>
    </row>
    <row r="1609" spans="1:15" ht="16.2">
      <c r="A1609" s="288"/>
      <c r="B1609" s="351" t="s">
        <v>1268</v>
      </c>
      <c r="C1609" s="388" t="str">
        <f>IF(OR(I1609&lt;&gt;0,H1609&lt;&gt;0),"x"," ")</f>
        <v xml:space="preserve"> </v>
      </c>
      <c r="D1609" s="338"/>
      <c r="E1609" s="358" t="str">
        <f>VLOOKUP($B1609,DG!A:D,DG!$C$2,)</f>
        <v xml:space="preserve">Đầu cosse ép Cu 2,5mm2 + bao PVC </v>
      </c>
      <c r="F1609" s="594" t="str">
        <f>VLOOKUP($B1609,DG!A:D,DG!$D$2,)</f>
        <v>cái</v>
      </c>
      <c r="G1609" s="595">
        <f>4*G1597+G1598*2+G1599*2</f>
        <v>0</v>
      </c>
      <c r="H1609" s="355">
        <f t="shared" si="74"/>
        <v>0</v>
      </c>
      <c r="I1609" s="355">
        <f>H1609+J1609-K1609</f>
        <v>0</v>
      </c>
      <c r="J1609" s="355"/>
      <c r="K1609" s="355"/>
      <c r="L1609" s="367"/>
      <c r="M1609" s="332"/>
      <c r="N1609" s="340"/>
      <c r="O1609" s="341"/>
    </row>
    <row r="1610" spans="1:15" ht="16.2">
      <c r="A1610" s="288"/>
      <c r="B1610" s="351" t="s">
        <v>1269</v>
      </c>
      <c r="C1610" s="388" t="str">
        <f>IF(OR(I1610&lt;&gt;0,H1610&lt;&gt;0),"x"," ")</f>
        <v xml:space="preserve"> </v>
      </c>
      <c r="D1610" s="338">
        <f>VLOOKUP($B1610,DG!A:D,DG!$B$2,)</f>
        <v>0</v>
      </c>
      <c r="E1610" s="358" t="str">
        <f>VLOOKUP($B1610,DG!A:D,DG!$C$2,)</f>
        <v>Cầu chì nhựa trong nhà 5A+ chì 5A</v>
      </c>
      <c r="F1610" s="594" t="str">
        <f>VLOOKUP($B1610,DG!A:D,DG!$D$2,)</f>
        <v>cái</v>
      </c>
      <c r="G1610" s="595">
        <f>G1597*2+G1598</f>
        <v>0</v>
      </c>
      <c r="H1610" s="355">
        <f t="shared" si="74"/>
        <v>0</v>
      </c>
      <c r="I1610" s="355">
        <f>H1610+J1610-K1610</f>
        <v>0</v>
      </c>
      <c r="J1610" s="355"/>
      <c r="K1610" s="355"/>
      <c r="L1610" s="367"/>
      <c r="M1610" s="332"/>
      <c r="N1610" s="340"/>
      <c r="O1610" s="341"/>
    </row>
    <row r="1611" spans="1:15" ht="16.2">
      <c r="A1611" s="288"/>
      <c r="B1611" s="351" t="s">
        <v>1270</v>
      </c>
      <c r="C1611" s="388" t="str">
        <f>IF(OR(I1611&lt;&gt;0,H1611&lt;&gt;0),"x"," ")</f>
        <v xml:space="preserve"> </v>
      </c>
      <c r="D1611" s="338">
        <f>VLOOKUP($B1611,DG!A:D,DG!$B$2,)</f>
        <v>0</v>
      </c>
      <c r="E1611" s="358" t="str">
        <f>VLOOKUP($B1611,DG!A:D,DG!$C$2,)</f>
        <v>Tấm bakelit hay nhựa cách điện 600V (200x60x6)</v>
      </c>
      <c r="F1611" s="594" t="str">
        <f>VLOOKUP($B1611,DG!A:D,DG!$D$2,)</f>
        <v>cái</v>
      </c>
      <c r="G1611" s="595">
        <f>G1613</f>
        <v>0</v>
      </c>
      <c r="H1611" s="355">
        <f t="shared" si="74"/>
        <v>0</v>
      </c>
      <c r="I1611" s="355">
        <f>H1611+J1611-K1611</f>
        <v>0</v>
      </c>
      <c r="J1611" s="355"/>
      <c r="K1611" s="355"/>
      <c r="L1611" s="367"/>
      <c r="M1611" s="332"/>
      <c r="N1611" s="340"/>
      <c r="O1611" s="341"/>
    </row>
    <row r="1612" spans="1:15" ht="16.2">
      <c r="A1612" s="288"/>
      <c r="B1612" s="351" t="s">
        <v>1174</v>
      </c>
      <c r="C1612" s="388" t="str">
        <f>IF(OR(I1612&lt;&gt;0,H1612&lt;&gt;0),"x"," ")</f>
        <v xml:space="preserve"> </v>
      </c>
      <c r="D1612" s="338">
        <f>VLOOKUP($B1612,DG!A:D,DG!$B$2,)</f>
        <v>0</v>
      </c>
      <c r="E1612" s="358" t="str">
        <f>VLOOKUP($B1612,DG!A:D,DG!$C$2,)</f>
        <v>Boulon thau 12x50</v>
      </c>
      <c r="F1612" s="594" t="str">
        <f>VLOOKUP($B1612,DG!A:D,DG!$D$2,)</f>
        <v>bộ</v>
      </c>
      <c r="G1612" s="595">
        <f>G1611*4</f>
        <v>0</v>
      </c>
      <c r="H1612" s="355">
        <f t="shared" si="74"/>
        <v>0</v>
      </c>
      <c r="I1612" s="355">
        <f>H1612+J1612-K1612</f>
        <v>0</v>
      </c>
      <c r="J1612" s="355"/>
      <c r="K1612" s="355"/>
      <c r="L1612" s="367"/>
      <c r="M1612" s="332"/>
      <c r="N1612" s="340"/>
      <c r="O1612" s="341"/>
    </row>
    <row r="1613" spans="1:15" ht="16.2">
      <c r="A1613" s="288"/>
      <c r="B1613" s="351" t="s">
        <v>599</v>
      </c>
      <c r="C1613" s="388" t="str">
        <f>IF(OR(I1613&lt;&gt;0,H1613&lt;&gt;0),"x"," ")</f>
        <v xml:space="preserve"> </v>
      </c>
      <c r="D1613" s="338">
        <f>VLOOKUP($B1613,DG!A:D,DG!$B$2,)</f>
        <v>0</v>
      </c>
      <c r="E1613" s="358" t="str">
        <f>VLOOKUP($B1613,DG!A:D,DG!$C$2,)</f>
        <v>Cọc tiếp đất Ø 16- 2,4m + kẹp cọc</v>
      </c>
      <c r="F1613" s="594" t="str">
        <f>VLOOKUP($B1613,DG!A:D,DG!$D$2,)</f>
        <v>bộ</v>
      </c>
      <c r="G1613" s="595"/>
      <c r="H1613" s="355">
        <f t="shared" si="74"/>
        <v>0</v>
      </c>
      <c r="I1613" s="355">
        <f>H1613+J1613-K1613</f>
        <v>0</v>
      </c>
      <c r="J1613" s="355"/>
      <c r="K1613" s="355"/>
      <c r="L1613" s="367"/>
      <c r="M1613" s="332"/>
      <c r="N1613" s="340"/>
      <c r="O1613" s="341"/>
    </row>
    <row r="1614" spans="1:15" ht="16.2">
      <c r="A1614" s="288"/>
      <c r="B1614" s="351" t="s">
        <v>1271</v>
      </c>
      <c r="C1614" s="388" t="str">
        <f>IF(OR(I1614&lt;&gt;0,H1614&lt;&gt;0),"x"," ")</f>
        <v xml:space="preserve"> </v>
      </c>
      <c r="D1614" s="338">
        <f>VLOOKUP($B1614,DG!A:D,DG!$B$2,)</f>
        <v>0</v>
      </c>
      <c r="E1614" s="358" t="str">
        <f>VLOOKUP($B1614,DG!A:D,DG!$C$2,)</f>
        <v>Kẹp treo cáp ABC4x35mm2</v>
      </c>
      <c r="F1614" s="594" t="str">
        <f>VLOOKUP($B1614,DG!A:D,DG!$D$2,)</f>
        <v>cái</v>
      </c>
      <c r="G1614" s="595">
        <f>[3]PPHTCS!BB69</f>
        <v>0</v>
      </c>
      <c r="H1614" s="355">
        <f t="shared" si="74"/>
        <v>0</v>
      </c>
      <c r="I1614" s="355">
        <f>H1614+J1614-K1614</f>
        <v>0</v>
      </c>
      <c r="J1614" s="355"/>
      <c r="K1614" s="355"/>
      <c r="L1614" s="367"/>
      <c r="M1614" s="332"/>
      <c r="N1614" s="340"/>
      <c r="O1614" s="341"/>
    </row>
    <row r="1615" spans="1:15" ht="16.2">
      <c r="A1615" s="288"/>
      <c r="B1615" s="351" t="s">
        <v>1272</v>
      </c>
      <c r="C1615" s="388" t="str">
        <f>IF(OR(I1615&lt;&gt;0,H1615&lt;&gt;0),"x"," ")</f>
        <v xml:space="preserve"> </v>
      </c>
      <c r="D1615" s="338">
        <f>VLOOKUP($B1615,DG!A:D,DG!$B$2,)</f>
        <v>0</v>
      </c>
      <c r="E1615" s="358" t="str">
        <f>VLOOKUP($B1615,DG!A:D,DG!$C$2,)</f>
        <v>Kẹp ngừng cáp ABC4x35mm2</v>
      </c>
      <c r="F1615" s="594" t="str">
        <f>VLOOKUP($B1615,DG!A:D,DG!$D$2,)</f>
        <v>cái</v>
      </c>
      <c r="G1615" s="595">
        <f>[3]PPHTCS!BE69</f>
        <v>0</v>
      </c>
      <c r="H1615" s="355">
        <f t="shared" si="74"/>
        <v>0</v>
      </c>
      <c r="I1615" s="355">
        <f>H1615+J1615-K1615</f>
        <v>0</v>
      </c>
      <c r="J1615" s="355"/>
      <c r="K1615" s="355"/>
      <c r="L1615" s="367"/>
      <c r="M1615" s="332"/>
      <c r="N1615" s="340"/>
      <c r="O1615" s="341"/>
    </row>
    <row r="1616" spans="1:15" ht="16.2">
      <c r="A1616" s="288"/>
      <c r="B1616" s="351" t="s">
        <v>1273</v>
      </c>
      <c r="C1616" s="388" t="str">
        <f>IF(OR(I1616&lt;&gt;0,H1616&lt;&gt;0),"x"," ")</f>
        <v xml:space="preserve"> </v>
      </c>
      <c r="D1616" s="363"/>
      <c r="E1616" s="366" t="str">
        <f>VLOOKUP($B1616,DG!A:D,DG!$C$2,)&amp;": ñaáu reõ nhaùnh truï 15"</f>
        <v>Ghíp nối IPC 35-35: ñaáu reõ nhaùnh truï 15</v>
      </c>
      <c r="F1616" s="594" t="str">
        <f>VLOOKUP($B1616,DG!A:D,DG!$D$2,)</f>
        <v>cái</v>
      </c>
      <c r="G1616" s="595"/>
      <c r="H1616" s="355">
        <f t="shared" si="74"/>
        <v>0</v>
      </c>
      <c r="I1616" s="355">
        <f>H1616+J1616-K1616</f>
        <v>0</v>
      </c>
      <c r="J1616" s="355"/>
      <c r="K1616" s="355"/>
      <c r="L1616" s="367"/>
      <c r="M1616" s="332"/>
      <c r="N1616" s="340"/>
      <c r="O1616" s="341"/>
    </row>
    <row r="1617" spans="1:15" ht="16.2">
      <c r="A1617" s="288"/>
      <c r="B1617" s="351" t="s">
        <v>1194</v>
      </c>
      <c r="C1617" s="388" t="str">
        <f>IF(OR(I1617&lt;&gt;0,H1617&lt;&gt;0),"x"," ")</f>
        <v xml:space="preserve"> </v>
      </c>
      <c r="D1617" s="338">
        <f>VLOOKUP($B1617,DG!A:D,DG!$B$2,)</f>
        <v>0</v>
      </c>
      <c r="E1617" s="358" t="str">
        <f>VLOOKUP($B1617,DG!A:D,DG!$C$2,)</f>
        <v>Móc treo chữ A</v>
      </c>
      <c r="F1617" s="594" t="str">
        <f>VLOOKUP($B1617,DG!A:D,DG!$D$2,)</f>
        <v>cái</v>
      </c>
      <c r="G1617" s="595">
        <f>[3]PPHTCS!BK69</f>
        <v>0</v>
      </c>
      <c r="H1617" s="355">
        <f t="shared" si="74"/>
        <v>0</v>
      </c>
      <c r="I1617" s="355">
        <f>H1617+J1617-K1617</f>
        <v>0</v>
      </c>
      <c r="J1617" s="355"/>
      <c r="K1617" s="355"/>
      <c r="L1617" s="367"/>
      <c r="M1617" s="332"/>
      <c r="N1617" s="340"/>
      <c r="O1617" s="341"/>
    </row>
    <row r="1618" spans="1:15" ht="16.2">
      <c r="A1618" s="288"/>
      <c r="B1618" s="351" t="s">
        <v>1215</v>
      </c>
      <c r="C1618" s="388" t="str">
        <f>IF(OR(I1618&lt;&gt;0,H1618&lt;&gt;0),"x"," ")</f>
        <v xml:space="preserve"> </v>
      </c>
      <c r="D1618" s="338">
        <f>VLOOKUP($B1618,DG!A:D,DG!$B$2,)</f>
        <v>0</v>
      </c>
      <c r="E1618" s="358" t="str">
        <f>VLOOKUP($B1618,DG!A:D,DG!$C$2,)</f>
        <v xml:space="preserve">Móc đơn treo cáp </v>
      </c>
      <c r="F1618" s="594" t="str">
        <f>VLOOKUP($B1618,DG!A:D,DG!$D$2,)</f>
        <v>cái</v>
      </c>
      <c r="G1618" s="595">
        <f>[3]PPHTCS!BJ69</f>
        <v>0</v>
      </c>
      <c r="H1618" s="355">
        <f t="shared" si="74"/>
        <v>0</v>
      </c>
      <c r="I1618" s="355">
        <f>H1618+J1618-K1618</f>
        <v>0</v>
      </c>
      <c r="J1618" s="355"/>
      <c r="K1618" s="355"/>
      <c r="L1618" s="367"/>
      <c r="M1618" s="332"/>
      <c r="N1618" s="340"/>
      <c r="O1618" s="341"/>
    </row>
    <row r="1619" spans="1:15" ht="16.2">
      <c r="A1619" s="288"/>
      <c r="B1619" s="351" t="s">
        <v>1274</v>
      </c>
      <c r="C1619" s="388" t="str">
        <f>IF(OR(I1619&lt;&gt;0,H1619&lt;&gt;0),"x"," ")</f>
        <v xml:space="preserve"> </v>
      </c>
      <c r="D1619" s="338">
        <f>VLOOKUP($B1619,DG!A:D,DG!$B$2,)</f>
        <v>0</v>
      </c>
      <c r="E1619" s="358" t="str">
        <f>VLOOKUP($B1619,DG!A:D,DG!$C$2,)</f>
        <v>Boulon móc 16x250</v>
      </c>
      <c r="F1619" s="594" t="str">
        <f>VLOOKUP($B1619,DG!A:D,DG!$D$2,)</f>
        <v>bộ</v>
      </c>
      <c r="G1619" s="595">
        <f>[3]PPHTCS!AO69</f>
        <v>0</v>
      </c>
      <c r="H1619" s="355">
        <f t="shared" si="74"/>
        <v>0</v>
      </c>
      <c r="I1619" s="355">
        <f>H1619+J1619-K1619</f>
        <v>0</v>
      </c>
      <c r="J1619" s="355"/>
      <c r="K1619" s="355"/>
      <c r="L1619" s="367"/>
      <c r="M1619" s="332"/>
      <c r="N1619" s="340"/>
      <c r="O1619" s="341"/>
    </row>
    <row r="1620" spans="1:15" ht="16.2">
      <c r="A1620" s="288"/>
      <c r="B1620" s="351" t="s">
        <v>1275</v>
      </c>
      <c r="C1620" s="388" t="str">
        <f>IF(OR(I1620&lt;&gt;0,H1620&lt;&gt;0),"x"," ")</f>
        <v xml:space="preserve"> </v>
      </c>
      <c r="D1620" s="338">
        <f>VLOOKUP($B1620,DG!A:D,DG!$B$2,)</f>
        <v>0</v>
      </c>
      <c r="E1620" s="358" t="str">
        <f>VLOOKUP($B1620,DG!A:D,DG!$C$2,)</f>
        <v>Boulon móc 16x300</v>
      </c>
      <c r="F1620" s="594" t="str">
        <f>VLOOKUP($B1620,DG!A:D,DG!$D$2,)</f>
        <v>bộ</v>
      </c>
      <c r="G1620" s="595">
        <f>[3]PPHTCS!AP69</f>
        <v>0</v>
      </c>
      <c r="H1620" s="355">
        <f t="shared" si="74"/>
        <v>0</v>
      </c>
      <c r="I1620" s="355">
        <f>H1620+J1620-K1620</f>
        <v>0</v>
      </c>
      <c r="J1620" s="355"/>
      <c r="K1620" s="355"/>
      <c r="L1620" s="367"/>
      <c r="M1620" s="332"/>
      <c r="N1620" s="340"/>
      <c r="O1620" s="341"/>
    </row>
    <row r="1621" spans="1:15" ht="16.2">
      <c r="A1621" s="288"/>
      <c r="B1621" s="351" t="s">
        <v>1230</v>
      </c>
      <c r="C1621" s="388" t="str">
        <f>IF(OR(I1621&lt;&gt;0,H1621&lt;&gt;0),"x"," ")</f>
        <v xml:space="preserve"> </v>
      </c>
      <c r="D1621" s="338"/>
      <c r="E1621" s="358" t="str">
        <f>VLOOKUP($B1621,DG!A:D,DG!$C$2,)</f>
        <v xml:space="preserve">Cổ dê trụ đôi 8,4m bắt móc dừng </v>
      </c>
      <c r="F1621" s="594" t="str">
        <f>VLOOKUP($B1621,DG!A:D,DG!$D$2,)</f>
        <v>bộ</v>
      </c>
      <c r="G1621" s="595">
        <f>[3]PPHTCS!BH69</f>
        <v>0</v>
      </c>
      <c r="H1621" s="355">
        <f t="shared" si="74"/>
        <v>0</v>
      </c>
      <c r="I1621" s="355">
        <f>H1621+J1621-K1621</f>
        <v>0</v>
      </c>
      <c r="J1621" s="355"/>
      <c r="K1621" s="355"/>
      <c r="L1621" s="367"/>
      <c r="M1621" s="332"/>
      <c r="N1621" s="340"/>
      <c r="O1621" s="341"/>
    </row>
    <row r="1622" spans="1:15" ht="16.2">
      <c r="A1622" s="288"/>
      <c r="B1622" s="351" t="s">
        <v>1214</v>
      </c>
      <c r="C1622" s="388" t="str">
        <f>IF(OR(I1622&lt;&gt;0,H1622&lt;&gt;0),"x"," ")</f>
        <v xml:space="preserve"> </v>
      </c>
      <c r="D1622" s="338">
        <f>VLOOKUP($B1622,DG!A:D,DG!$B$2,)</f>
        <v>0</v>
      </c>
      <c r="E1622" s="358" t="str">
        <f>VLOOKUP($B1622,DG!A:D,DG!$C$2,)</f>
        <v xml:space="preserve">Móc dừng </v>
      </c>
      <c r="F1622" s="594" t="str">
        <f>VLOOKUP($B1622,DG!A:D,DG!$D$2,)</f>
        <v>cái</v>
      </c>
      <c r="G1622" s="595">
        <f>[3]PPHTCS!BI69</f>
        <v>0</v>
      </c>
      <c r="H1622" s="355">
        <f t="shared" si="74"/>
        <v>0</v>
      </c>
      <c r="I1622" s="355">
        <f>H1622+J1622-K1622</f>
        <v>0</v>
      </c>
      <c r="J1622" s="355"/>
      <c r="K1622" s="355"/>
      <c r="L1622" s="367"/>
      <c r="M1622" s="332"/>
      <c r="N1622" s="340"/>
      <c r="O1622" s="341"/>
    </row>
    <row r="1623" spans="1:15" ht="16.2">
      <c r="A1623" s="288"/>
      <c r="B1623" s="351" t="s">
        <v>1276</v>
      </c>
      <c r="C1623" s="388" t="str">
        <f>IF(OR(I1623&lt;&gt;0,H1623&lt;&gt;0),"x"," ")</f>
        <v xml:space="preserve"> </v>
      </c>
      <c r="D1623" s="338">
        <f>VLOOKUP($B1623,DG!A:D,DG!$B$2,)</f>
        <v>0</v>
      </c>
      <c r="E1623" s="358" t="str">
        <f>VLOOKUP($B1623,DG!A:D,DG!$C$2,)&amp;": ñaáu noái löôùi hieän höõu"</f>
        <v>Kẹp U bolt dây 50mm2: ñaáu noái löôùi hieän höõu</v>
      </c>
      <c r="F1623" s="594" t="str">
        <f>VLOOKUP($B1623,DG!A:D,DG!$D$2,)</f>
        <v>cái</v>
      </c>
      <c r="G1623" s="595">
        <f>[3]PPHTCS!BL69</f>
        <v>0</v>
      </c>
      <c r="H1623" s="355">
        <f t="shared" si="74"/>
        <v>0</v>
      </c>
      <c r="I1623" s="355">
        <f>H1623+J1623-K1623</f>
        <v>0</v>
      </c>
      <c r="J1623" s="355"/>
      <c r="K1623" s="355"/>
      <c r="L1623" s="367"/>
      <c r="M1623" s="332"/>
      <c r="N1623" s="340"/>
      <c r="O1623" s="341"/>
    </row>
    <row r="1624" spans="1:15" ht="16.2">
      <c r="A1624" s="288"/>
      <c r="B1624" s="351" t="s">
        <v>1277</v>
      </c>
      <c r="C1624" s="388" t="str">
        <f>IF(OR(I1624&lt;&gt;0,H1624&lt;&gt;0),"x"," ")</f>
        <v xml:space="preserve"> </v>
      </c>
      <c r="D1624" s="338">
        <f>VLOOKUP($B1624,DG!A:D,DG!$B$2,)</f>
        <v>0</v>
      </c>
      <c r="E1624" s="358" t="str">
        <f>VLOOKUP($B1624,DG!A:D,DG!$C$2,)</f>
        <v>ÔÁng sắt tráng kẽm D60</v>
      </c>
      <c r="F1624" s="594" t="str">
        <f>VLOOKUP($B1624,DG!A:D,DG!$D$2,)</f>
        <v>mét</v>
      </c>
      <c r="G1624" s="595"/>
      <c r="H1624" s="355">
        <f>G1624</f>
        <v>0</v>
      </c>
      <c r="I1624" s="355">
        <f>H1624+J1624-K1624</f>
        <v>0</v>
      </c>
      <c r="J1624" s="355"/>
      <c r="K1624" s="355"/>
      <c r="L1624" s="367"/>
      <c r="M1624" s="332"/>
      <c r="N1624" s="340"/>
      <c r="O1624" s="341"/>
    </row>
    <row r="1625" spans="1:15" ht="16.2">
      <c r="A1625" s="288"/>
      <c r="B1625" s="351" t="s">
        <v>1278</v>
      </c>
      <c r="C1625" s="388" t="str">
        <f>IF(OR(I1625&lt;&gt;0,H1625&lt;&gt;0),"x"," ")</f>
        <v xml:space="preserve"> </v>
      </c>
      <c r="D1625" s="338">
        <f>VLOOKUP($B1625,DG!A:D,DG!$B$2,)</f>
        <v>0</v>
      </c>
      <c r="E1625" s="358" t="str">
        <f>VLOOKUP($B1625,DG!A:D,DG!$C$2,)</f>
        <v>ÔÁng sắt tráng kẽm D42</v>
      </c>
      <c r="F1625" s="594" t="str">
        <f>VLOOKUP($B1625,DG!A:D,DG!$D$2,)</f>
        <v>mét</v>
      </c>
      <c r="G1625" s="595"/>
      <c r="H1625" s="355">
        <f>G1625</f>
        <v>0</v>
      </c>
      <c r="I1625" s="355">
        <f>H1625+J1625-K1625</f>
        <v>0</v>
      </c>
      <c r="J1625" s="355"/>
      <c r="K1625" s="355"/>
      <c r="L1625" s="367"/>
      <c r="M1625" s="332"/>
      <c r="N1625" s="340"/>
      <c r="O1625" s="341"/>
    </row>
    <row r="1626" spans="1:15" ht="16.2">
      <c r="A1626" s="288"/>
      <c r="B1626" s="351" t="s">
        <v>1220</v>
      </c>
      <c r="C1626" s="388" t="str">
        <f>IF(OR(I1626&lt;&gt;0,H1626&lt;&gt;0),"x"," ")</f>
        <v xml:space="preserve"> </v>
      </c>
      <c r="D1626" s="338" t="str">
        <f>VLOOKUP($B1626,DG!A:D,DG!$B$2,)</f>
        <v>07.2404</v>
      </c>
      <c r="E1626" s="358" t="str">
        <f>VLOOKUP($B1626,DG!A:D,DG!$C$2,)</f>
        <v>Ống PVC D60x2,8mm</v>
      </c>
      <c r="F1626" s="594" t="str">
        <f>VLOOKUP($B1626,DG!A:D,DG!$D$2,)</f>
        <v>m</v>
      </c>
      <c r="G1626" s="595"/>
      <c r="H1626" s="355">
        <f>G1626</f>
        <v>0</v>
      </c>
      <c r="I1626" s="355">
        <f>H1626+J1626-K1626</f>
        <v>0</v>
      </c>
      <c r="J1626" s="355"/>
      <c r="K1626" s="355"/>
      <c r="L1626" s="367"/>
      <c r="M1626" s="332"/>
      <c r="N1626" s="340"/>
      <c r="O1626" s="341"/>
    </row>
    <row r="1627" spans="1:15" ht="16.2">
      <c r="A1627" s="288"/>
      <c r="B1627" s="351" t="s">
        <v>1279</v>
      </c>
      <c r="C1627" s="388" t="str">
        <f>IF(OR(I1627&lt;&gt;0,H1627&lt;&gt;0),"x"," ")</f>
        <v xml:space="preserve"> </v>
      </c>
      <c r="D1627" s="338" t="str">
        <f>VLOOKUP($B1627,DG!A:D,DG!$B$2,)</f>
        <v>07.2403</v>
      </c>
      <c r="E1627" s="358" t="str">
        <f>VLOOKUP($B1627,DG!A:D,DG!$C$2,)</f>
        <v>Ống PVC D42x2,1mm</v>
      </c>
      <c r="F1627" s="594" t="str">
        <f>VLOOKUP($B1627,DG!A:D,DG!$D$2,)</f>
        <v>m</v>
      </c>
      <c r="G1627" s="595">
        <f>G1626</f>
        <v>0</v>
      </c>
      <c r="H1627" s="355">
        <f>G1627</f>
        <v>0</v>
      </c>
      <c r="I1627" s="355">
        <f>H1627+J1627-K1627</f>
        <v>0</v>
      </c>
      <c r="J1627" s="355"/>
      <c r="K1627" s="355"/>
      <c r="L1627" s="367"/>
      <c r="M1627" s="332"/>
      <c r="N1627" s="340"/>
      <c r="O1627" s="341"/>
    </row>
    <row r="1628" spans="1:15" ht="16.2">
      <c r="A1628" s="288"/>
      <c r="B1628" s="443" t="s">
        <v>1280</v>
      </c>
      <c r="C1628" s="388" t="str">
        <f>IF(OR(I1628&lt;&gt;0,H1628&lt;&gt;0),"x"," ")</f>
        <v xml:space="preserve"> </v>
      </c>
      <c r="D1628" s="338" t="str">
        <f>VLOOKUP($B1628,DG!A:D,DG!$B$2,)</f>
        <v>07,2404</v>
      </c>
      <c r="E1628" s="366" t="str">
        <f>VLOOKUP($B1628,DG!A:D,DG!$C$2,)</f>
        <v>Lắp ống PVC D60 (Nhân công đã qui đổi về ĐG chiếu sáng)</v>
      </c>
      <c r="F1628" s="594" t="str">
        <f>VLOOKUP($B1628,DG!A:D,DG!$D$2,)</f>
        <v>mét</v>
      </c>
      <c r="G1628" s="595">
        <f>G1626+G1602</f>
        <v>0</v>
      </c>
      <c r="H1628" s="355">
        <f t="shared" si="74"/>
        <v>0</v>
      </c>
      <c r="I1628" s="355">
        <f>H1628+J1628-K1628</f>
        <v>0</v>
      </c>
      <c r="J1628" s="355"/>
      <c r="K1628" s="355"/>
      <c r="L1628" s="367"/>
      <c r="M1628" s="332"/>
      <c r="N1628" s="340"/>
      <c r="O1628" s="341"/>
    </row>
    <row r="1629" spans="1:15" ht="16.2">
      <c r="A1629" s="288"/>
      <c r="B1629" s="443" t="s">
        <v>1281</v>
      </c>
      <c r="C1629" s="388" t="str">
        <f>IF(OR(I1629&lt;&gt;0,H1629&lt;&gt;0),"x"," ")</f>
        <v xml:space="preserve"> </v>
      </c>
      <c r="D1629" s="338" t="str">
        <f>VLOOKUP($B1629,DG!A:D,DG!$B$2,)</f>
        <v>07.2301</v>
      </c>
      <c r="E1629" s="366" t="str">
        <f>VLOOKUP($B1629,DG!A:D,DG!$C$2,)</f>
        <v>Lắp ống sắt d&lt;120mm (Nhân công đã qui đổi về ĐG chiếu sáng)</v>
      </c>
      <c r="F1629" s="594" t="str">
        <f>VLOOKUP($B1629,DG!A:D,DG!$D$2,)</f>
        <v>mét</v>
      </c>
      <c r="G1629" s="595">
        <f>G1624+G1625</f>
        <v>0</v>
      </c>
      <c r="H1629" s="355">
        <f t="shared" si="74"/>
        <v>0</v>
      </c>
      <c r="I1629" s="355">
        <f>H1629+J1629-K1629</f>
        <v>0</v>
      </c>
      <c r="J1629" s="355"/>
      <c r="K1629" s="355"/>
      <c r="L1629" s="367"/>
      <c r="M1629" s="332"/>
      <c r="N1629" s="340"/>
      <c r="O1629" s="341"/>
    </row>
    <row r="1630" spans="1:15" ht="16.2">
      <c r="A1630" s="288"/>
      <c r="B1630" s="443" t="s">
        <v>1282</v>
      </c>
      <c r="C1630" s="388" t="str">
        <f>IF(OR(I1630&lt;&gt;0,H1630&lt;&gt;0),"x"," ")</f>
        <v xml:space="preserve"> </v>
      </c>
      <c r="D1630" s="338" t="str">
        <f>VLOOKUP($B1630,DG!A:D,DG!$B$2,)</f>
        <v>CS4.02.011</v>
      </c>
      <c r="E1630" s="366" t="str">
        <f>VLOOKUP($B1630,DG!A:D,DG!$C$2,)</f>
        <v>Kéo rải cáp chiếu sáng D&lt;25</v>
      </c>
      <c r="F1630" s="594" t="str">
        <f>VLOOKUP($B1630,DG!A:D,DG!$D$2,)</f>
        <v>mét</v>
      </c>
      <c r="G1630" s="595">
        <f>(G1592+G1591+G1590)</f>
        <v>0</v>
      </c>
      <c r="H1630" s="355">
        <f t="shared" si="74"/>
        <v>0</v>
      </c>
      <c r="I1630" s="355">
        <f>H1630+J1630-K1630</f>
        <v>0</v>
      </c>
      <c r="J1630" s="355"/>
      <c r="K1630" s="355"/>
      <c r="L1630" s="367"/>
      <c r="M1630" s="332"/>
      <c r="N1630" s="340"/>
      <c r="O1630" s="341"/>
    </row>
    <row r="1631" spans="1:15" ht="16.2">
      <c r="A1631" s="288"/>
      <c r="B1631" s="443" t="s">
        <v>1283</v>
      </c>
      <c r="C1631" s="388" t="str">
        <f>IF(OR(I1631&lt;&gt;0,H1631&lt;&gt;0),"x"," ")</f>
        <v xml:space="preserve"> </v>
      </c>
      <c r="D1631" s="338" t="str">
        <f>VLOOKUP($B1631,DG!A:D,DG!$B$2,)</f>
        <v>CS4.03.010</v>
      </c>
      <c r="E1631" s="366" t="str">
        <f>VLOOKUP($B1631,DG!A:D,DG!$C$2,)</f>
        <v>Lắp đầu cáp ngầm chiếu sáng</v>
      </c>
      <c r="F1631" s="594" t="str">
        <f>VLOOKUP($B1631,DG!A:D,DG!$D$2,)</f>
        <v>bộ</v>
      </c>
      <c r="G1631" s="595">
        <f>G1605</f>
        <v>0</v>
      </c>
      <c r="H1631" s="355">
        <f t="shared" si="74"/>
        <v>0</v>
      </c>
      <c r="I1631" s="355">
        <f>H1631+J1631-K1631</f>
        <v>0</v>
      </c>
      <c r="J1631" s="355"/>
      <c r="K1631" s="355"/>
      <c r="L1631" s="367"/>
      <c r="M1631" s="332"/>
      <c r="N1631" s="340"/>
      <c r="O1631" s="341"/>
    </row>
    <row r="1632" spans="1:15" ht="16.2">
      <c r="A1632" s="288"/>
      <c r="B1632" s="443" t="s">
        <v>1284</v>
      </c>
      <c r="C1632" s="388" t="str">
        <f>IF(OR(I1632&lt;&gt;0,H1632&lt;&gt;0),"x"," ")</f>
        <v xml:space="preserve"> </v>
      </c>
      <c r="D1632" s="338" t="str">
        <f>VLOOKUP($B1632,DG!A:D,DG!$B$2,)</f>
        <v>CS3.02.011</v>
      </c>
      <c r="E1632" s="366" t="str">
        <f>VLOOKUP($B1632,DG!A:D,DG!$C$2,)</f>
        <v>Lắp cần đèn +  chụp đầu cột hạ thế ≤ 10,5m</v>
      </c>
      <c r="F1632" s="594" t="str">
        <f>VLOOKUP($B1632,DG!A:D,DG!$D$2,)</f>
        <v>cái</v>
      </c>
      <c r="G1632" s="595">
        <f>G1598+G1597</f>
        <v>0</v>
      </c>
      <c r="H1632" s="355">
        <f t="shared" si="74"/>
        <v>0</v>
      </c>
      <c r="I1632" s="355">
        <f>H1632+J1632-K1632</f>
        <v>0</v>
      </c>
      <c r="J1632" s="355"/>
      <c r="K1632" s="355"/>
      <c r="L1632" s="367"/>
      <c r="M1632" s="332"/>
      <c r="N1632" s="340"/>
      <c r="O1632" s="341"/>
    </row>
    <row r="1633" spans="1:15" ht="16.2">
      <c r="A1633" s="288"/>
      <c r="B1633" s="443" t="s">
        <v>1285</v>
      </c>
      <c r="C1633" s="388" t="str">
        <f>IF(OR(I1633&lt;&gt;0,H1633&lt;&gt;0),"x"," ")</f>
        <v xml:space="preserve"> </v>
      </c>
      <c r="D1633" s="338" t="str">
        <f>VLOOKUP($B1633,DG!A:D,DG!$B$2,)</f>
        <v>CS3.05.001</v>
      </c>
      <c r="E1633" s="366" t="str">
        <f>VLOOKUP($B1633,DG!A:D,DG!$C$2,)</f>
        <v>Lắp chóa đèn chiếu sáng ≤ 12m</v>
      </c>
      <c r="F1633" s="594" t="str">
        <f>VLOOKUP($B1633,DG!A:D,DG!$D$2,)</f>
        <v>bộ</v>
      </c>
      <c r="G1633" s="595">
        <f>G1600</f>
        <v>0</v>
      </c>
      <c r="H1633" s="355">
        <f t="shared" si="74"/>
        <v>0</v>
      </c>
      <c r="I1633" s="355">
        <f>H1633+J1633-K1633</f>
        <v>0</v>
      </c>
      <c r="J1633" s="355"/>
      <c r="K1633" s="355"/>
      <c r="L1633" s="367"/>
      <c r="M1633" s="332"/>
      <c r="N1633" s="340"/>
      <c r="O1633" s="341"/>
    </row>
    <row r="1634" spans="1:15" ht="16.2">
      <c r="A1634" s="288"/>
      <c r="B1634" s="443" t="s">
        <v>1286</v>
      </c>
      <c r="C1634" s="388" t="str">
        <f>IF(OR(I1634&lt;&gt;0,H1634&lt;&gt;0),"x"," ")</f>
        <v xml:space="preserve"> </v>
      </c>
      <c r="D1634" s="338" t="str">
        <f>VLOOKUP($B1634,DG!A:D,DG!$B$2,)</f>
        <v>CS4.08.010</v>
      </c>
      <c r="E1634" s="358" t="str">
        <f>VLOOKUP($B1634,DG!A:D,DG!$C$2,)</f>
        <v>Luồn dây lên đèn</v>
      </c>
      <c r="F1634" s="594" t="str">
        <f>VLOOKUP($B1634,DG!A:D,DG!$D$2,)</f>
        <v>mét</v>
      </c>
      <c r="G1634" s="595">
        <f>G1596+G1595</f>
        <v>0</v>
      </c>
      <c r="H1634" s="355">
        <f t="shared" si="74"/>
        <v>0</v>
      </c>
      <c r="I1634" s="355">
        <f>H1634+J1634-K1634</f>
        <v>0</v>
      </c>
      <c r="J1634" s="355"/>
      <c r="K1634" s="355"/>
      <c r="L1634" s="367"/>
      <c r="M1634" s="332"/>
      <c r="N1634" s="340"/>
      <c r="O1634" s="341"/>
    </row>
    <row r="1635" spans="1:15" ht="16.2">
      <c r="A1635" s="288"/>
      <c r="B1635" s="443" t="s">
        <v>1287</v>
      </c>
      <c r="C1635" s="388" t="str">
        <f>IF(OR(I1635&lt;&gt;0,H1635&lt;&gt;0),"x"," ")</f>
        <v xml:space="preserve"> </v>
      </c>
      <c r="D1635" s="338" t="str">
        <f>VLOOKUP($B1635,DG!A:D,DG!$B$2,)</f>
        <v>CS4.03.020</v>
      </c>
      <c r="E1635" s="366" t="str">
        <f>VLOOKUP($B1635,DG!A:D,DG!$C$2,)</f>
        <v>Lắp cầu chì đuôi cá</v>
      </c>
      <c r="F1635" s="594" t="str">
        <f>VLOOKUP($B1635,DG!A:D,DG!$D$2,)</f>
        <v>cái</v>
      </c>
      <c r="G1635" s="595">
        <f>G1610</f>
        <v>0</v>
      </c>
      <c r="H1635" s="355">
        <f t="shared" si="74"/>
        <v>0</v>
      </c>
      <c r="I1635" s="355">
        <f>H1635+J1635-K1635</f>
        <v>0</v>
      </c>
      <c r="J1635" s="355"/>
      <c r="K1635" s="355"/>
      <c r="L1635" s="367"/>
      <c r="M1635" s="332"/>
      <c r="N1635" s="340"/>
      <c r="O1635" s="341"/>
    </row>
    <row r="1636" spans="1:15" ht="16.2">
      <c r="A1636" s="288"/>
      <c r="B1636" s="443" t="s">
        <v>1288</v>
      </c>
      <c r="C1636" s="388" t="str">
        <f>IF(OR(I1636&lt;&gt;0,H1636&lt;&gt;0),"x"," ")</f>
        <v xml:space="preserve"> </v>
      </c>
      <c r="D1636" s="338">
        <f>VLOOKUP($B1636,DG!A:D,DG!$B$2,)</f>
        <v>0</v>
      </c>
      <c r="E1636" s="366" t="str">
        <f>VLOOKUP($B1636,DG!A:D,DG!$C$2,)</f>
        <v>Lắp tấm bakelit</v>
      </c>
      <c r="F1636" s="594">
        <f>VLOOKUP($B1636,DG!A:D,DG!$D$2,)</f>
        <v>0</v>
      </c>
      <c r="G1636" s="595">
        <f>G1611</f>
        <v>0</v>
      </c>
      <c r="H1636" s="355">
        <f t="shared" si="74"/>
        <v>0</v>
      </c>
      <c r="I1636" s="355">
        <f>H1636+J1636-K1636</f>
        <v>0</v>
      </c>
      <c r="J1636" s="355"/>
      <c r="K1636" s="355"/>
      <c r="L1636" s="367"/>
      <c r="M1636" s="332"/>
      <c r="N1636" s="340"/>
      <c r="O1636" s="341"/>
    </row>
    <row r="1637" spans="1:15" ht="16.2">
      <c r="A1637" s="342" t="s">
        <v>1289</v>
      </c>
      <c r="B1637" s="343" t="s">
        <v>1289</v>
      </c>
      <c r="C1637" s="388" t="str">
        <f>IF(G1637&lt;&gt;0,"x"," ")</f>
        <v xml:space="preserve"> </v>
      </c>
      <c r="D1637" s="347" t="s">
        <v>1290</v>
      </c>
      <c r="E1637" s="346" t="s">
        <v>1291</v>
      </c>
      <c r="F1637" s="593"/>
      <c r="G1637" s="349"/>
      <c r="H1637" s="349">
        <f>IFERROR(HLOOKUP(B1637,'BKT-ThuHoi'!$5:$183,179,0),0)</f>
        <v>0</v>
      </c>
      <c r="I1637" s="350"/>
      <c r="J1637" s="350"/>
      <c r="K1637" s="350"/>
      <c r="L1637" s="348"/>
      <c r="M1637" s="332"/>
      <c r="N1637" s="340"/>
      <c r="O1637" s="341"/>
    </row>
    <row r="1638" spans="1:15" ht="16.2">
      <c r="A1638" s="288"/>
      <c r="B1638" s="343" t="s">
        <v>1292</v>
      </c>
      <c r="C1638" s="388" t="str">
        <f>IF(OR(I1638&lt;&gt;0,H1638&lt;&gt;0),"x"," ")</f>
        <v xml:space="preserve"> </v>
      </c>
      <c r="D1638" s="338" t="str">
        <f>VLOOKUP($B1638,DG!A:D,DG!$B$2,)</f>
        <v>HL02</v>
      </c>
      <c r="E1638" s="366" t="str">
        <f>VLOOKUP($B1638,DG!A:D,DG!$C$2,)</f>
        <v>Lắp sứ đứng đường dây 3 pha xà đối xứng</v>
      </c>
      <c r="F1638" s="594" t="str">
        <f>VLOOKUP($B1638,DG!A:D,DG!$D$2,)</f>
        <v>bộ</v>
      </c>
      <c r="G1638" s="595"/>
      <c r="H1638" s="355">
        <f t="shared" ref="H1638:H1644" si="75">G1638</f>
        <v>0</v>
      </c>
      <c r="I1638" s="355">
        <f>H1638+J1638-K1638</f>
        <v>0</v>
      </c>
      <c r="J1638" s="355"/>
      <c r="K1638" s="355"/>
      <c r="L1638" s="367"/>
      <c r="M1638" s="332"/>
      <c r="N1638" s="340"/>
      <c r="O1638" s="341"/>
    </row>
    <row r="1639" spans="1:15" ht="16.2">
      <c r="A1639" s="288"/>
      <c r="B1639" s="343" t="s">
        <v>1293</v>
      </c>
      <c r="C1639" s="388" t="str">
        <f>IF(OR(I1639&lt;&gt;0,H1639&lt;&gt;0),"x"," ")</f>
        <v xml:space="preserve"> </v>
      </c>
      <c r="D1639" s="338" t="str">
        <f>VLOOKUP($B1639,DG!A:D,DG!$B$2,)</f>
        <v>HL05</v>
      </c>
      <c r="E1639" s="366" t="str">
        <f>VLOOKUP($B1639,DG!A:D,DG!$C$2,)</f>
        <v>Lắp chuỗi sứ néo Polymer đường dây 3 pha</v>
      </c>
      <c r="F1639" s="594" t="str">
        <f>VLOOKUP($B1639,DG!A:D,DG!$D$2,)</f>
        <v>bộ</v>
      </c>
      <c r="G1639" s="595"/>
      <c r="H1639" s="355">
        <f t="shared" si="75"/>
        <v>0</v>
      </c>
      <c r="I1639" s="355">
        <f>H1639+J1639-K1639</f>
        <v>0</v>
      </c>
      <c r="J1639" s="355"/>
      <c r="K1639" s="355"/>
      <c r="L1639" s="367"/>
      <c r="M1639" s="332"/>
      <c r="N1639" s="340"/>
      <c r="O1639" s="341"/>
    </row>
    <row r="1640" spans="1:15" ht="16.2">
      <c r="A1640" s="288"/>
      <c r="B1640" s="343" t="s">
        <v>1294</v>
      </c>
      <c r="C1640" s="388" t="str">
        <f>IF(OR(I1640&lt;&gt;0,H1640&lt;&gt;0),"x"," ")</f>
        <v xml:space="preserve"> </v>
      </c>
      <c r="D1640" s="338" t="str">
        <f>VLOOKUP($B1640,DG!A:D,DG!$B$2,)</f>
        <v>HL07</v>
      </c>
      <c r="E1640" s="358" t="str">
        <f>VLOOKUP($B1640,DG!A:D,DG!$C$2,)</f>
        <v>Đấu cò lèo đường dây 3 pha</v>
      </c>
      <c r="F1640" s="594" t="str">
        <f>VLOOKUP($B1640,DG!A:D,DG!$D$2,)</f>
        <v>cò</v>
      </c>
      <c r="G1640" s="595"/>
      <c r="H1640" s="355">
        <f t="shared" si="75"/>
        <v>0</v>
      </c>
      <c r="I1640" s="355">
        <f>H1640+J1640-K1640</f>
        <v>0</v>
      </c>
      <c r="J1640" s="355"/>
      <c r="K1640" s="355"/>
      <c r="L1640" s="367"/>
      <c r="M1640" s="332"/>
      <c r="N1640" s="340"/>
      <c r="O1640" s="341"/>
    </row>
    <row r="1641" spans="1:15" ht="16.2">
      <c r="A1641" s="288"/>
      <c r="B1641" s="343" t="s">
        <v>1295</v>
      </c>
      <c r="C1641" s="388" t="str">
        <f>IF(OR(I1641&lt;&gt;0,H1641&lt;&gt;0),"x"," ")</f>
        <v xml:space="preserve"> </v>
      </c>
      <c r="D1641" s="338" t="str">
        <f>VLOOKUP($B1641,DG!A:D,DG!$B$2,)</f>
        <v>HL13</v>
      </c>
      <c r="E1641" s="366" t="str">
        <f>VLOOKUP($B1641,DG!A:D,DG!$C$2,)</f>
        <v>Lắp xà</v>
      </c>
      <c r="F1641" s="594" t="str">
        <f>VLOOKUP($B1641,DG!A:D,DG!$D$2,)</f>
        <v>bộ</v>
      </c>
      <c r="G1641" s="595"/>
      <c r="H1641" s="355">
        <f t="shared" si="75"/>
        <v>0</v>
      </c>
      <c r="I1641" s="355">
        <f>H1641+J1641-K1641</f>
        <v>0</v>
      </c>
      <c r="J1641" s="355"/>
      <c r="K1641" s="355"/>
      <c r="L1641" s="367"/>
      <c r="M1641" s="332"/>
      <c r="N1641" s="340"/>
      <c r="O1641" s="341"/>
    </row>
    <row r="1642" spans="1:15" ht="16.2">
      <c r="A1642" s="288"/>
      <c r="B1642" s="343" t="s">
        <v>1296</v>
      </c>
      <c r="C1642" s="388" t="str">
        <f>IF(OR(I1642&lt;&gt;0,H1642&lt;&gt;0),"x"," ")</f>
        <v xml:space="preserve"> </v>
      </c>
      <c r="D1642" s="338" t="str">
        <f>VLOOKUP($B1642,DG!A:D,DG!$B$2,)</f>
        <v>HL03</v>
      </c>
      <c r="E1642" s="366" t="str">
        <f>VLOOKUP($B1642,DG!A:D,DG!$C$2,)</f>
        <v>Lắp sứ đứng đường dây 3 pha xà vectical</v>
      </c>
      <c r="F1642" s="594" t="str">
        <f>VLOOKUP($B1642,DG!A:D,DG!$D$2,)</f>
        <v>bộ</v>
      </c>
      <c r="G1642" s="595"/>
      <c r="H1642" s="355">
        <f t="shared" si="75"/>
        <v>0</v>
      </c>
      <c r="I1642" s="355">
        <f>H1642+J1642-K1642</f>
        <v>0</v>
      </c>
      <c r="J1642" s="355"/>
      <c r="K1642" s="355"/>
      <c r="L1642" s="367"/>
      <c r="M1642" s="332"/>
      <c r="N1642" s="340"/>
      <c r="O1642" s="341"/>
    </row>
    <row r="1643" spans="1:15" ht="16.2">
      <c r="A1643" s="288"/>
      <c r="B1643" s="343" t="s">
        <v>1297</v>
      </c>
      <c r="C1643" s="388" t="str">
        <f>IF(OR(I1643&lt;&gt;0,H1643&lt;&gt;0),"x"," ")</f>
        <v xml:space="preserve"> </v>
      </c>
      <c r="D1643" s="338" t="str">
        <f>VLOOKUP($B1643,DG!A:D,DG!$B$2,)</f>
        <v>HL09</v>
      </c>
      <c r="E1643" s="366" t="str">
        <f>VLOOKUP($B1643,DG!A:D,DG!$C$2,)</f>
        <v>Lắp FCO, LBFCO đường dây 3 pha</v>
      </c>
      <c r="F1643" s="594" t="str">
        <f>VLOOKUP($B1643,DG!A:D,DG!$D$2,)</f>
        <v>bộ</v>
      </c>
      <c r="G1643" s="595"/>
      <c r="H1643" s="355">
        <f t="shared" si="75"/>
        <v>0</v>
      </c>
      <c r="I1643" s="355">
        <f>H1643+J1643-K1643</f>
        <v>0</v>
      </c>
      <c r="J1643" s="355"/>
      <c r="K1643" s="355"/>
      <c r="L1643" s="367"/>
      <c r="M1643" s="332"/>
      <c r="N1643" s="340"/>
      <c r="O1643" s="341"/>
    </row>
    <row r="1644" spans="1:15" ht="16.2">
      <c r="A1644" s="288"/>
      <c r="B1644" s="343" t="s">
        <v>1298</v>
      </c>
      <c r="C1644" s="388" t="str">
        <f>IF(OR(I1644&lt;&gt;0,H1644&lt;&gt;0),"x"," ")</f>
        <v xml:space="preserve"> </v>
      </c>
      <c r="D1644" s="338" t="str">
        <f>VLOOKUP($B1644,DG!A:D,DG!$B$2,)</f>
        <v>HL09</v>
      </c>
      <c r="E1644" s="366" t="str">
        <f>VLOOKUP($B1644,DG!A:D,DG!$C$2,)</f>
        <v>Lắp LA</v>
      </c>
      <c r="F1644" s="594" t="str">
        <f>VLOOKUP($B1644,DG!A:D,DG!$D$2,)</f>
        <v>cái</v>
      </c>
      <c r="G1644" s="595"/>
      <c r="H1644" s="355">
        <f t="shared" si="75"/>
        <v>0</v>
      </c>
      <c r="I1644" s="355">
        <f>H1644+J1644-K1644</f>
        <v>0</v>
      </c>
      <c r="J1644" s="355"/>
      <c r="K1644" s="355"/>
      <c r="L1644" s="367"/>
      <c r="M1644" s="332"/>
      <c r="N1644" s="340"/>
      <c r="O1644" s="341"/>
    </row>
    <row r="1645" spans="1:15" ht="16.2">
      <c r="A1645" s="382" t="s">
        <v>1299</v>
      </c>
      <c r="B1645" s="343" t="s">
        <v>1299</v>
      </c>
      <c r="C1645" s="388"/>
      <c r="D1645" s="347" t="s">
        <v>1300</v>
      </c>
      <c r="E1645" s="346" t="s">
        <v>1301</v>
      </c>
      <c r="F1645" s="593"/>
      <c r="G1645" s="349">
        <f>IF(SUM(G1646:G1655)=0,0,1)</f>
        <v>0</v>
      </c>
      <c r="H1645" s="349">
        <f>IFERROR(HLOOKUP(B1645,'BKT-ThuHoi'!$5:$183,179,0),0)</f>
        <v>0</v>
      </c>
      <c r="I1645" s="350"/>
      <c r="J1645" s="350"/>
      <c r="K1645" s="350"/>
      <c r="L1645" s="348"/>
      <c r="M1645" s="340"/>
      <c r="N1645" s="340"/>
      <c r="O1645" s="341"/>
    </row>
    <row r="1646" spans="1:15" ht="16.2">
      <c r="A1646" s="288"/>
      <c r="B1646" s="417" t="s">
        <v>1302</v>
      </c>
      <c r="C1646" s="388" t="str">
        <f>IF(OR(I1646&lt;&gt;0,H1646&lt;&gt;0),"x"," ")</f>
        <v xml:space="preserve"> </v>
      </c>
      <c r="D1646" s="338" t="str">
        <f>VLOOKUP($B1646,DG!A:D,DG!$B$2,)</f>
        <v>02.3104</v>
      </c>
      <c r="E1646" s="358" t="str">
        <f>VLOOKUP($B1646,DG!A:D,DG!$C$2,)</f>
        <v>LTD 1P 24KV - 800A</v>
      </c>
      <c r="F1646" s="594" t="str">
        <f>VLOOKUP($B1646,DG!A:D,DG!$D$2,)</f>
        <v>cái</v>
      </c>
      <c r="G1646" s="595">
        <f>+[3]pp_NC!ED184</f>
        <v>0</v>
      </c>
      <c r="H1646" s="355"/>
      <c r="I1646" s="355">
        <f>H1646+J1646-K1646</f>
        <v>0</v>
      </c>
      <c r="J1646" s="355"/>
      <c r="K1646" s="355"/>
      <c r="L1646" s="367"/>
      <c r="M1646" s="332"/>
      <c r="N1646" s="340"/>
      <c r="O1646" s="341"/>
    </row>
    <row r="1647" spans="1:15" ht="16.2">
      <c r="A1647" s="288"/>
      <c r="B1647" s="417" t="s">
        <v>3818</v>
      </c>
      <c r="C1647" s="388" t="str">
        <f>IF(OR(I1647&lt;&gt;0,H1647&lt;&gt;0),"x"," ")</f>
        <v xml:space="preserve"> </v>
      </c>
      <c r="D1647" s="338" t="str">
        <f>VLOOKUP($B1647,DG!A:D,DG!$B$2,)</f>
        <v>02.3505</v>
      </c>
      <c r="E1647" s="358" t="str">
        <f>VLOOKUP($B1647,DG!A:D,DG!$C$2,)</f>
        <v>LBFCO-24KV-200A</v>
      </c>
      <c r="F1647" s="594" t="str">
        <f>VLOOKUP($B1647,DG!A:D,DG!$D$2,)</f>
        <v>cái</v>
      </c>
      <c r="G1647" s="595">
        <f>[3]pp_NC!EF184</f>
        <v>0</v>
      </c>
      <c r="H1647" s="355">
        <f t="shared" ref="H1647:H1655" si="76">G1647</f>
        <v>0</v>
      </c>
      <c r="I1647" s="355">
        <f>H1647+J1647-K1647</f>
        <v>0</v>
      </c>
      <c r="J1647" s="355"/>
      <c r="K1647" s="355"/>
      <c r="L1647" s="367"/>
      <c r="M1647" s="332"/>
      <c r="N1647" s="340"/>
      <c r="O1647" s="341"/>
    </row>
    <row r="1648" spans="1:15" ht="16.2">
      <c r="A1648" s="288"/>
      <c r="B1648" s="417" t="s">
        <v>2977</v>
      </c>
      <c r="C1648" s="388" t="str">
        <f>IF(OR(I1648&lt;&gt;0,H1648&lt;&gt;0),"x"," ")</f>
        <v xml:space="preserve"> </v>
      </c>
      <c r="D1648" s="338" t="str">
        <f>VLOOKUP($B1648,DG!A:D,DG!$B$2,)</f>
        <v>02.3505</v>
      </c>
      <c r="E1648" s="358" t="str">
        <f>VLOOKUP($B1648,DG!A:D,DG!$C$2,)</f>
        <v xml:space="preserve">FCO 24KV - 200A </v>
      </c>
      <c r="F1648" s="594" t="str">
        <f>VLOOKUP($B1648,DG!A:D,DG!$D$2,)</f>
        <v>cái</v>
      </c>
      <c r="G1648" s="595">
        <f>[3]pp_NC!EG184</f>
        <v>0</v>
      </c>
      <c r="H1648" s="355">
        <f t="shared" si="76"/>
        <v>0</v>
      </c>
      <c r="I1648" s="355">
        <f>H1648+J1648-K1648</f>
        <v>0</v>
      </c>
      <c r="J1648" s="355"/>
      <c r="K1648" s="355"/>
      <c r="L1648" s="367"/>
      <c r="M1648" s="332"/>
      <c r="N1648" s="340"/>
      <c r="O1648" s="341"/>
    </row>
    <row r="1649" spans="1:15" ht="16.2">
      <c r="A1649" s="384"/>
      <c r="B1649" s="309" t="s">
        <v>2975</v>
      </c>
      <c r="C1649" s="388" t="str">
        <f>IF(OR(I1649&lt;&gt;0,H1649&lt;&gt;0),"x"," ")</f>
        <v xml:space="preserve"> </v>
      </c>
      <c r="D1649" s="338" t="str">
        <f>VLOOKUP($B1649,DG!A:D,DG!$B$2,)</f>
        <v>02.3155</v>
      </c>
      <c r="E1649" s="358" t="str">
        <f>VLOOKUP($B1649,DG!A:D,DG!$C$2,)</f>
        <v>FCO 24kV - 100A</v>
      </c>
      <c r="F1649" s="594" t="str">
        <f>VLOOKUP($B1649,DG!A:D,DG!$D$2,)</f>
        <v>cái</v>
      </c>
      <c r="G1649" s="595">
        <f>[3]pp_NC!EH184</f>
        <v>0</v>
      </c>
      <c r="H1649" s="355">
        <f t="shared" si="76"/>
        <v>0</v>
      </c>
      <c r="I1649" s="355">
        <f>H1649+J1649-K1649</f>
        <v>0</v>
      </c>
      <c r="J1649" s="355"/>
      <c r="K1649" s="355"/>
      <c r="L1649" s="367"/>
      <c r="M1649" s="340"/>
      <c r="N1649" s="340"/>
      <c r="O1649" s="341"/>
    </row>
    <row r="1650" spans="1:15" ht="28.5" customHeight="1">
      <c r="A1650" s="384"/>
      <c r="B1650" s="420" t="s">
        <v>1303</v>
      </c>
      <c r="C1650" s="388" t="str">
        <f>IF(OR(I1650&lt;&gt;0,H1650&lt;&gt;0),"x"," ")</f>
        <v xml:space="preserve"> </v>
      </c>
      <c r="D1650" s="338">
        <f>VLOOKUP($B1650,DG!A:D,DG!$B$2,)</f>
        <v>0</v>
      </c>
      <c r="E1650" s="358" t="str">
        <f>VLOOKUP($B1650,DG!A:D,DG!$C$2,)</f>
        <v>Dây chảy 12K</v>
      </c>
      <c r="F1650" s="594" t="str">
        <f>VLOOKUP($B1650,DG!A:D,DG!$D$2,)</f>
        <v>Sợi</v>
      </c>
      <c r="G1650" s="595"/>
      <c r="H1650" s="355">
        <f t="shared" si="76"/>
        <v>0</v>
      </c>
      <c r="I1650" s="355">
        <f>H1650+J1650-K1650</f>
        <v>0</v>
      </c>
      <c r="J1650" s="355"/>
      <c r="K1650" s="355"/>
      <c r="L1650" s="367"/>
      <c r="M1650" s="340"/>
      <c r="N1650" s="340"/>
      <c r="O1650" s="341"/>
    </row>
    <row r="1651" spans="1:15" ht="16.2">
      <c r="A1651" s="384"/>
      <c r="B1651" s="420" t="s">
        <v>1304</v>
      </c>
      <c r="C1651" s="388" t="str">
        <f>IF(OR(I1651&lt;&gt;0,H1651&lt;&gt;0),"x"," ")</f>
        <v xml:space="preserve"> </v>
      </c>
      <c r="D1651" s="338">
        <f>VLOOKUP($B1651,DG!A:D,DG!$B$2,)</f>
        <v>0</v>
      </c>
      <c r="E1651" s="358" t="str">
        <f>VLOOKUP($B1651,DG!A:D,DG!$C$2,)</f>
        <v>Chụp cách điện đầu cực FCO (trên + dưới)</v>
      </c>
      <c r="F1651" s="594" t="str">
        <f>VLOOKUP($B1651,DG!A:D,DG!$D$2,)</f>
        <v>bộ</v>
      </c>
      <c r="G1651" s="595"/>
      <c r="H1651" s="355">
        <f>G1651</f>
        <v>0</v>
      </c>
      <c r="I1651" s="355">
        <f>H1651+J1651-K1651</f>
        <v>0</v>
      </c>
      <c r="J1651" s="355"/>
      <c r="K1651" s="355"/>
      <c r="L1651" s="367"/>
      <c r="M1651" s="340"/>
      <c r="N1651" s="340"/>
      <c r="O1651" s="341"/>
    </row>
    <row r="1652" spans="1:15" ht="16.2">
      <c r="A1652" s="288"/>
      <c r="B1652" s="417" t="s">
        <v>1305</v>
      </c>
      <c r="C1652" s="388" t="str">
        <f>IF(OR(I1652&lt;&gt;0,H1652&lt;&gt;0),"x"," ")</f>
        <v xml:space="preserve"> </v>
      </c>
      <c r="D1652" s="338" t="str">
        <f>VLOOKUP($B1652,DG!A:D,DG!$B$2,)</f>
        <v>02.3302</v>
      </c>
      <c r="E1652" s="358" t="str">
        <f>VLOOKUP($B1652,DG!A:D,DG!$C$2,)</f>
        <v xml:space="preserve">DS 1P - 24KV - 600A </v>
      </c>
      <c r="F1652" s="594" t="str">
        <f>VLOOKUP($B1652,DG!A:D,DG!$D$2,)</f>
        <v>bộ</v>
      </c>
      <c r="G1652" s="595"/>
      <c r="H1652" s="355">
        <f t="shared" si="76"/>
        <v>0</v>
      </c>
      <c r="I1652" s="355">
        <f>H1652+J1652-K1652</f>
        <v>0</v>
      </c>
      <c r="J1652" s="355"/>
      <c r="K1652" s="355"/>
      <c r="L1652" s="367"/>
      <c r="M1652" s="332"/>
      <c r="N1652" s="340"/>
      <c r="O1652" s="341"/>
    </row>
    <row r="1653" spans="1:15" ht="16.2">
      <c r="A1653" s="288"/>
      <c r="B1653" s="417" t="s">
        <v>1306</v>
      </c>
      <c r="C1653" s="388" t="str">
        <f>IF(OR(I1653&lt;&gt;0,H1653&lt;&gt;0),"x"," ")</f>
        <v xml:space="preserve"> </v>
      </c>
      <c r="D1653" s="338" t="str">
        <f>VLOOKUP($B1653,DG!A:D,DG!$B$2,)</f>
        <v>02.3302</v>
      </c>
      <c r="E1653" s="358" t="str">
        <f>VLOOKUP($B1653,DG!A:D,DG!$C$2,)</f>
        <v xml:space="preserve">DS 3P - 24KV - 630A </v>
      </c>
      <c r="F1653" s="594" t="str">
        <f>VLOOKUP($B1653,DG!A:D,DG!$D$2,)</f>
        <v>bộ</v>
      </c>
      <c r="G1653" s="595">
        <f>[3]pp_NC!EJ184</f>
        <v>0</v>
      </c>
      <c r="H1653" s="355">
        <f t="shared" si="76"/>
        <v>0</v>
      </c>
      <c r="I1653" s="355">
        <f>H1653+J1653-K1653</f>
        <v>0</v>
      </c>
      <c r="J1653" s="355"/>
      <c r="K1653" s="355"/>
      <c r="L1653" s="367"/>
      <c r="M1653" s="332"/>
      <c r="N1653" s="340"/>
      <c r="O1653" s="341"/>
    </row>
    <row r="1654" spans="1:15" ht="16.2">
      <c r="A1654" s="288"/>
      <c r="B1654" s="417" t="s">
        <v>1307</v>
      </c>
      <c r="C1654" s="388" t="str">
        <f>IF(OR(I1654&lt;&gt;0,H1654&lt;&gt;0),"x"," ")</f>
        <v xml:space="preserve"> </v>
      </c>
      <c r="D1654" s="338" t="str">
        <f>VLOOKUP($B1654,DG!A:D,DG!$B$2,)</f>
        <v>02.2124</v>
      </c>
      <c r="E1654" s="358" t="str">
        <f>VLOOKUP($B1654,DG!A:D,DG!$C$2,)</f>
        <v>LBS SF6 3pha 24kV 630A - 16kA</v>
      </c>
      <c r="F1654" s="594" t="str">
        <f>VLOOKUP($B1654,DG!A:D,DG!$D$2,)</f>
        <v>bộ</v>
      </c>
      <c r="G1654" s="595"/>
      <c r="H1654" s="355">
        <f t="shared" si="76"/>
        <v>0</v>
      </c>
      <c r="I1654" s="355">
        <f>H1654+J1654-K1654</f>
        <v>0</v>
      </c>
      <c r="J1654" s="355"/>
      <c r="K1654" s="355"/>
      <c r="L1654" s="367"/>
      <c r="M1654" s="332"/>
      <c r="N1654" s="340"/>
      <c r="O1654" s="341"/>
    </row>
    <row r="1655" spans="1:15" ht="16.2">
      <c r="A1655" s="288"/>
      <c r="B1655" s="417" t="s">
        <v>1308</v>
      </c>
      <c r="C1655" s="388" t="str">
        <f>IF(OR(I1655&lt;&gt;0,H1655&lt;&gt;0),"x"," ")</f>
        <v xml:space="preserve"> </v>
      </c>
      <c r="D1655" s="338" t="str">
        <f>VLOOKUP($B1655,DG!A:D,DG!$B$2,)</f>
        <v>02.2124</v>
      </c>
      <c r="E1655" s="358" t="str">
        <f>VLOOKUP($B1655,DG!A:D,DG!$C$2,)</f>
        <v>Recloser 24kV 630-800A</v>
      </c>
      <c r="F1655" s="594" t="str">
        <f>VLOOKUP($B1655,DG!A:D,DG!$D$2,)</f>
        <v>bộ</v>
      </c>
      <c r="G1655" s="595"/>
      <c r="H1655" s="355">
        <f t="shared" si="76"/>
        <v>0</v>
      </c>
      <c r="I1655" s="355">
        <f>H1655+J1655-K1655</f>
        <v>0</v>
      </c>
      <c r="J1655" s="355"/>
      <c r="K1655" s="355"/>
      <c r="L1655" s="367"/>
      <c r="M1655" s="332"/>
      <c r="N1655" s="340"/>
      <c r="O1655" s="341"/>
    </row>
    <row r="1656" spans="1:15" ht="16.2">
      <c r="A1656" s="342" t="s">
        <v>1309</v>
      </c>
      <c r="B1656" s="343" t="s">
        <v>1309</v>
      </c>
      <c r="C1656" s="388" t="str">
        <f>IF(G1656&lt;&gt;0,"x"," ")</f>
        <v xml:space="preserve"> </v>
      </c>
      <c r="D1656" s="347" t="s">
        <v>1300</v>
      </c>
      <c r="E1656" s="346" t="s">
        <v>1310</v>
      </c>
      <c r="F1656" s="593"/>
      <c r="G1656" s="349">
        <f>IF(SUM(G1657:G1666)=0,0,1)</f>
        <v>0</v>
      </c>
      <c r="H1656" s="349">
        <f>IFERROR(HLOOKUP(B1656,'BKT-ThuHoi'!$5:$183,179,0),0)</f>
        <v>0</v>
      </c>
      <c r="I1656" s="350"/>
      <c r="J1656" s="350"/>
      <c r="K1656" s="350"/>
      <c r="L1656" s="348"/>
      <c r="M1656" s="332"/>
      <c r="N1656" s="340"/>
      <c r="O1656" s="341"/>
    </row>
    <row r="1657" spans="1:15" ht="16.2">
      <c r="A1657" s="288"/>
      <c r="B1657" s="417" t="s">
        <v>1302</v>
      </c>
      <c r="C1657" s="388" t="str">
        <f>IF(OR(I1657&lt;&gt;0,H1657&lt;&gt;0),"x"," ")</f>
        <v xml:space="preserve"> </v>
      </c>
      <c r="D1657" s="338" t="str">
        <f>VLOOKUP($B1657,DG!A:D,DG!$B$2,)</f>
        <v>02.3104</v>
      </c>
      <c r="E1657" s="358" t="str">
        <f>VLOOKUP($B1657,DG!A:D,DG!$C$2,)</f>
        <v>LTD 1P 24KV - 800A</v>
      </c>
      <c r="F1657" s="594" t="str">
        <f>VLOOKUP($B1657,DG!A:D,DG!$D$2,)</f>
        <v>cái</v>
      </c>
      <c r="G1657" s="595">
        <f>+'[3]pp3p2m '!DM82</f>
        <v>0</v>
      </c>
      <c r="H1657" s="355">
        <v>0</v>
      </c>
      <c r="I1657" s="355">
        <f>H1657+J1657-K1657</f>
        <v>0</v>
      </c>
      <c r="J1657" s="355"/>
      <c r="K1657" s="355"/>
      <c r="L1657" s="367"/>
      <c r="M1657" s="332"/>
      <c r="N1657" s="340"/>
      <c r="O1657" s="341"/>
    </row>
    <row r="1658" spans="1:15" ht="16.2">
      <c r="A1658" s="288"/>
      <c r="B1658" s="417" t="s">
        <v>2982</v>
      </c>
      <c r="C1658" s="388" t="str">
        <f>IF(OR(I1658&lt;&gt;0,H1658&lt;&gt;0),"x"," ")</f>
        <v xml:space="preserve"> </v>
      </c>
      <c r="D1658" s="338" t="str">
        <f>VLOOKUP($B1658,DG!A:D,DG!$B$2,)</f>
        <v>02.3505</v>
      </c>
      <c r="E1658" s="358" t="str">
        <f>VLOOKUP($B1658,DG!A:D,DG!$C$2,)</f>
        <v>LBFCO-24KV-100A</v>
      </c>
      <c r="F1658" s="594" t="str">
        <f>VLOOKUP($B1658,DG!A:D,DG!$D$2,)</f>
        <v>cái</v>
      </c>
      <c r="G1658" s="595"/>
      <c r="H1658" s="355">
        <f t="shared" ref="H1658:H1666" si="77">G1658</f>
        <v>0</v>
      </c>
      <c r="I1658" s="355">
        <f>H1658+J1658-K1658</f>
        <v>0</v>
      </c>
      <c r="J1658" s="355"/>
      <c r="K1658" s="355"/>
      <c r="L1658" s="367"/>
      <c r="M1658" s="332"/>
      <c r="N1658" s="340"/>
      <c r="O1658" s="341"/>
    </row>
    <row r="1659" spans="1:15" ht="16.2">
      <c r="A1659" s="288"/>
      <c r="B1659" s="417" t="s">
        <v>2977</v>
      </c>
      <c r="C1659" s="388" t="str">
        <f>IF(OR(I1659&lt;&gt;0,H1659&lt;&gt;0),"x"," ")</f>
        <v xml:space="preserve"> </v>
      </c>
      <c r="D1659" s="338" t="str">
        <f>VLOOKUP($B1659,DG!A:D,DG!$B$2,)</f>
        <v>02.3505</v>
      </c>
      <c r="E1659" s="358" t="str">
        <f>VLOOKUP($B1659,DG!A:D,DG!$C$2,)</f>
        <v xml:space="preserve">FCO 24KV - 200A </v>
      </c>
      <c r="F1659" s="594" t="str">
        <f>VLOOKUP($B1659,DG!A:D,DG!$D$2,)</f>
        <v>cái</v>
      </c>
      <c r="G1659" s="595"/>
      <c r="H1659" s="355">
        <f t="shared" si="77"/>
        <v>0</v>
      </c>
      <c r="I1659" s="355">
        <f>H1659+J1659-K1659</f>
        <v>0</v>
      </c>
      <c r="J1659" s="355"/>
      <c r="K1659" s="355"/>
      <c r="L1659" s="367"/>
      <c r="M1659" s="332"/>
      <c r="N1659" s="340"/>
      <c r="O1659" s="341"/>
    </row>
    <row r="1660" spans="1:15" ht="16.2">
      <c r="A1660" s="288"/>
      <c r="B1660" s="309" t="s">
        <v>2975</v>
      </c>
      <c r="C1660" s="388" t="str">
        <f>IF(OR(I1660&lt;&gt;0,H1660&lt;&gt;0),"x"," ")</f>
        <v xml:space="preserve"> </v>
      </c>
      <c r="D1660" s="338" t="str">
        <f>VLOOKUP($B1660,DG!A:D,DG!$B$2,)</f>
        <v>02.3155</v>
      </c>
      <c r="E1660" s="358" t="str">
        <f>VLOOKUP($B1660,DG!A:D,DG!$C$2,)</f>
        <v>FCO 24kV - 100A</v>
      </c>
      <c r="F1660" s="594" t="str">
        <f>VLOOKUP($B1660,DG!A:D,DG!$D$2,)</f>
        <v>cái</v>
      </c>
      <c r="G1660" s="595"/>
      <c r="H1660" s="355">
        <f t="shared" si="77"/>
        <v>0</v>
      </c>
      <c r="I1660" s="355">
        <f>H1660+J1660-K1660</f>
        <v>0</v>
      </c>
      <c r="J1660" s="355"/>
      <c r="K1660" s="355"/>
      <c r="L1660" s="367"/>
      <c r="M1660" s="332"/>
      <c r="N1660" s="340"/>
      <c r="O1660" s="341"/>
    </row>
    <row r="1661" spans="1:15" ht="16.2">
      <c r="A1661" s="288"/>
      <c r="B1661" s="417" t="s">
        <v>1305</v>
      </c>
      <c r="C1661" s="388" t="str">
        <f>IF(OR(I1661&lt;&gt;0,H1661&lt;&gt;0),"x"," ")</f>
        <v xml:space="preserve"> </v>
      </c>
      <c r="D1661" s="338" t="str">
        <f>VLOOKUP($B1661,DG!A:D,DG!$B$2,)</f>
        <v>02.3302</v>
      </c>
      <c r="E1661" s="358" t="str">
        <f>VLOOKUP($B1661,DG!A:D,DG!$C$2,)</f>
        <v xml:space="preserve">DS 1P - 24KV - 600A </v>
      </c>
      <c r="F1661" s="594" t="str">
        <f>VLOOKUP($B1661,DG!A:D,DG!$D$2,)</f>
        <v>bộ</v>
      </c>
      <c r="G1661" s="595"/>
      <c r="H1661" s="355">
        <f t="shared" si="77"/>
        <v>0</v>
      </c>
      <c r="I1661" s="355">
        <f>H1661+J1661-K1661</f>
        <v>0</v>
      </c>
      <c r="J1661" s="355"/>
      <c r="K1661" s="355"/>
      <c r="L1661" s="367"/>
      <c r="M1661" s="332"/>
      <c r="N1661" s="340"/>
      <c r="O1661" s="341"/>
    </row>
    <row r="1662" spans="1:15" ht="16.2">
      <c r="A1662" s="288"/>
      <c r="B1662" s="417" t="s">
        <v>1311</v>
      </c>
      <c r="C1662" s="388" t="str">
        <f>IF(OR(I1662&lt;&gt;0,H1662&lt;&gt;0),"x"," ")</f>
        <v xml:space="preserve"> </v>
      </c>
      <c r="D1662" s="338" t="str">
        <f>VLOOKUP($B1662,DG!A:D,DG!$B$2,)</f>
        <v>02.3302</v>
      </c>
      <c r="E1662" s="358" t="str">
        <f>VLOOKUP($B1662,DG!A:D,DG!$C$2,)</f>
        <v xml:space="preserve">DS 3P - 24KV - 630A </v>
      </c>
      <c r="F1662" s="594" t="str">
        <f>VLOOKUP($B1662,DG!A:D,DG!$D$2,)</f>
        <v>bộ</v>
      </c>
      <c r="G1662" s="595">
        <f>'[3]pp3p2m '!DQ82</f>
        <v>0</v>
      </c>
      <c r="H1662" s="355">
        <f t="shared" si="77"/>
        <v>0</v>
      </c>
      <c r="I1662" s="355">
        <f>H1662+J1662-K1662</f>
        <v>0</v>
      </c>
      <c r="J1662" s="355"/>
      <c r="K1662" s="355"/>
      <c r="L1662" s="367"/>
      <c r="M1662" s="332"/>
      <c r="N1662" s="340"/>
      <c r="O1662" s="341"/>
    </row>
    <row r="1663" spans="1:15" ht="16.2">
      <c r="A1663" s="288"/>
      <c r="B1663" s="417" t="s">
        <v>1307</v>
      </c>
      <c r="C1663" s="388" t="str">
        <f>IF(OR(I1663&lt;&gt;0,H1663&lt;&gt;0),"x"," ")</f>
        <v xml:space="preserve"> </v>
      </c>
      <c r="D1663" s="338" t="str">
        <f>VLOOKUP($B1663,DG!A:D,DG!$B$2,)</f>
        <v>02.2124</v>
      </c>
      <c r="E1663" s="358" t="str">
        <f>VLOOKUP($B1663,DG!A:D,DG!$C$2,)</f>
        <v>LBS SF6 3pha 24kV 630A - 16kA</v>
      </c>
      <c r="F1663" s="594" t="str">
        <f>VLOOKUP($B1663,DG!A:D,DG!$D$2,)</f>
        <v>bộ</v>
      </c>
      <c r="G1663" s="595"/>
      <c r="H1663" s="355">
        <f t="shared" si="77"/>
        <v>0</v>
      </c>
      <c r="I1663" s="355">
        <f>H1663+J1663-K1663</f>
        <v>0</v>
      </c>
      <c r="J1663" s="355"/>
      <c r="K1663" s="355"/>
      <c r="L1663" s="367"/>
      <c r="M1663" s="332"/>
      <c r="N1663" s="340"/>
      <c r="O1663" s="341"/>
    </row>
    <row r="1664" spans="1:15" ht="16.2">
      <c r="A1664" s="288"/>
      <c r="B1664" s="417" t="s">
        <v>1308</v>
      </c>
      <c r="C1664" s="388" t="str">
        <f>IF(OR(I1664&lt;&gt;0,H1664&lt;&gt;0),"x"," ")</f>
        <v xml:space="preserve"> </v>
      </c>
      <c r="D1664" s="338" t="str">
        <f>VLOOKUP($B1664,DG!A:D,DG!$B$2,)</f>
        <v>02.2124</v>
      </c>
      <c r="E1664" s="358" t="str">
        <f>VLOOKUP($B1664,DG!A:D,DG!$C$2,)</f>
        <v>Recloser 24kV 630-800A</v>
      </c>
      <c r="F1664" s="594" t="str">
        <f>VLOOKUP($B1664,DG!A:D,DG!$D$2,)</f>
        <v>bộ</v>
      </c>
      <c r="G1664" s="595"/>
      <c r="H1664" s="355">
        <f t="shared" si="77"/>
        <v>0</v>
      </c>
      <c r="I1664" s="355">
        <f>H1664+J1664-K1664</f>
        <v>0</v>
      </c>
      <c r="J1664" s="355"/>
      <c r="K1664" s="355"/>
      <c r="L1664" s="367"/>
      <c r="M1664" s="332"/>
      <c r="N1664" s="340"/>
      <c r="O1664" s="341"/>
    </row>
    <row r="1665" spans="1:15" ht="16.2">
      <c r="A1665" s="288"/>
      <c r="B1665" s="417" t="s">
        <v>1052</v>
      </c>
      <c r="C1665" s="388" t="str">
        <f>IF(OR(I1665&lt;&gt;0,H1665&lt;&gt;0),"x"," ")</f>
        <v xml:space="preserve"> </v>
      </c>
      <c r="D1665" s="338" t="str">
        <f>VLOOKUP($B1665,DG!A:D,DG!$B$2,)</f>
        <v>02.5114</v>
      </c>
      <c r="E1665" s="358" t="str">
        <f>VLOOKUP($B1665,DG!A:D,DG!$C$2,)</f>
        <v>LA 18kV 10kA</v>
      </c>
      <c r="F1665" s="594" t="str">
        <f>VLOOKUP($B1665,DG!A:D,DG!$D$2,)</f>
        <v>cái</v>
      </c>
      <c r="G1665" s="595"/>
      <c r="H1665" s="355">
        <f t="shared" si="77"/>
        <v>0</v>
      </c>
      <c r="I1665" s="355">
        <f>H1665+J1665-K1665</f>
        <v>0</v>
      </c>
      <c r="J1665" s="355"/>
      <c r="K1665" s="355"/>
      <c r="L1665" s="367"/>
      <c r="M1665" s="332"/>
      <c r="N1665" s="340"/>
      <c r="O1665" s="341"/>
    </row>
    <row r="1666" spans="1:15" ht="16.2">
      <c r="A1666" s="288"/>
      <c r="B1666" s="417" t="s">
        <v>1312</v>
      </c>
      <c r="C1666" s="388" t="str">
        <f>IF(OR(I1666&lt;&gt;0,H1666&lt;&gt;0),"x"," ")</f>
        <v xml:space="preserve"> </v>
      </c>
      <c r="D1666" s="338" t="str">
        <f>VLOOKUP($B1666,DG!A:D,DG!$B$2,)</f>
        <v>02.5114</v>
      </c>
      <c r="E1666" s="358" t="str">
        <f>VLOOKUP($B1666,DG!A:D,DG!$C$2,)</f>
        <v>LA 12kV 10kA</v>
      </c>
      <c r="F1666" s="594" t="str">
        <f>VLOOKUP($B1666,DG!A:D,DG!$D$2,)</f>
        <v>cái</v>
      </c>
      <c r="G1666" s="595"/>
      <c r="H1666" s="355">
        <f t="shared" si="77"/>
        <v>0</v>
      </c>
      <c r="I1666" s="355">
        <f>H1666+J1666-K1666</f>
        <v>0</v>
      </c>
      <c r="J1666" s="355"/>
      <c r="K1666" s="355"/>
      <c r="L1666" s="367"/>
      <c r="M1666" s="332"/>
      <c r="N1666" s="340"/>
      <c r="O1666" s="341"/>
    </row>
    <row r="1667" spans="1:15" ht="16.2">
      <c r="A1667" s="372" t="s">
        <v>1313</v>
      </c>
      <c r="B1667" s="378" t="s">
        <v>1313</v>
      </c>
      <c r="C1667" s="388" t="str">
        <f>IF(G1667&lt;&gt;0,"x"," ")</f>
        <v>x</v>
      </c>
      <c r="D1667" s="347" t="s">
        <v>1290</v>
      </c>
      <c r="E1667" s="346" t="s">
        <v>1314</v>
      </c>
      <c r="F1667" s="593"/>
      <c r="G1667" s="349">
        <f>IF(SUM(G1669:G1688)=0,0,1)</f>
        <v>1</v>
      </c>
      <c r="H1667" s="349">
        <f>IFERROR(HLOOKUP(B1667,'BKT-ThuHoi'!$5:$183,179,0),0)</f>
        <v>0</v>
      </c>
      <c r="I1667" s="350"/>
      <c r="J1667" s="350"/>
      <c r="K1667" s="350"/>
      <c r="L1667" s="348"/>
      <c r="M1667" s="340"/>
      <c r="N1667" s="340"/>
      <c r="O1667" s="341"/>
    </row>
    <row r="1668" spans="1:15" ht="16.2">
      <c r="A1668" s="288"/>
      <c r="B1668" s="417" t="s">
        <v>1302</v>
      </c>
      <c r="C1668" s="388" t="str">
        <f t="shared" ref="C1668:C1731" si="78">IF(G1668&lt;&gt;0,"x"," ")</f>
        <v xml:space="preserve"> </v>
      </c>
      <c r="D1668" s="338" t="str">
        <f>VLOOKUP($B1668,DG!A:D,DG!$B$2,)</f>
        <v>02.3104</v>
      </c>
      <c r="E1668" s="358" t="str">
        <f>VLOOKUP($B1668,DG!A:D,DG!$C$2,)</f>
        <v>LTD 1P 24KV - 800A</v>
      </c>
      <c r="F1668" s="594" t="str">
        <f>VLOOKUP($B1668,DG!A:D,DG!$D$2,)</f>
        <v>cái</v>
      </c>
      <c r="G1668" s="595"/>
      <c r="H1668" s="355" t="e">
        <f>#REF!</f>
        <v>#REF!</v>
      </c>
      <c r="I1668" s="355" t="e">
        <f>H1668+J1668-K1668</f>
        <v>#REF!</v>
      </c>
      <c r="J1668" s="355"/>
      <c r="K1668" s="355"/>
      <c r="L1668" s="367"/>
      <c r="M1668" s="332"/>
      <c r="N1668" s="340"/>
      <c r="O1668" s="341"/>
    </row>
    <row r="1669" spans="1:15" ht="16.2">
      <c r="A1669" s="288"/>
      <c r="B1669" s="417" t="s">
        <v>1315</v>
      </c>
      <c r="C1669" s="388" t="str">
        <f t="shared" si="78"/>
        <v>x</v>
      </c>
      <c r="D1669" s="338" t="str">
        <f>VLOOKUP($B1669,DG!A:D,DG!$B$2,)</f>
        <v>02.3104</v>
      </c>
      <c r="E1669" s="358" t="str">
        <f>VLOOKUP($B1669,DG!A:D,DG!$C$2,)</f>
        <v>LTD 1P 24KV - 600A</v>
      </c>
      <c r="F1669" s="594" t="str">
        <f>VLOOKUP($B1669,DG!A:D,DG!$D$2,)</f>
        <v>cái</v>
      </c>
      <c r="G1669" s="595">
        <v>3</v>
      </c>
      <c r="H1669" s="355">
        <f>G1669</f>
        <v>3</v>
      </c>
      <c r="I1669" s="355">
        <f>H1669+J1669-K1669</f>
        <v>3</v>
      </c>
      <c r="J1669" s="355"/>
      <c r="K1669" s="355"/>
      <c r="L1669" s="367"/>
      <c r="M1669" s="332"/>
      <c r="N1669" s="340"/>
      <c r="O1669" s="341"/>
    </row>
    <row r="1670" spans="1:15" ht="16.2">
      <c r="A1670" s="288"/>
      <c r="B1670" s="417" t="s">
        <v>2982</v>
      </c>
      <c r="C1670" s="388" t="str">
        <f t="shared" si="78"/>
        <v xml:space="preserve"> </v>
      </c>
      <c r="D1670" s="338" t="str">
        <f>VLOOKUP($B1670,DG!A:D,DG!$B$2,)</f>
        <v>02.3505</v>
      </c>
      <c r="E1670" s="358" t="str">
        <f>VLOOKUP($B1670,DG!A:D,DG!$C$2,)&amp;" : lắp trụ đo đếm"</f>
        <v>LBFCO-24KV-100A : lắp trụ đo đếm</v>
      </c>
      <c r="F1670" s="594" t="str">
        <f>VLOOKUP($B1670,DG!A:D,DG!$D$2,)</f>
        <v>cái</v>
      </c>
      <c r="G1670" s="595"/>
      <c r="H1670" s="355">
        <f t="shared" ref="H1670:H1713" si="79">G1670</f>
        <v>0</v>
      </c>
      <c r="I1670" s="355">
        <f>H1670+J1670-K1670</f>
        <v>0</v>
      </c>
      <c r="J1670" s="355"/>
      <c r="K1670" s="355"/>
      <c r="L1670" s="367"/>
      <c r="M1670" s="332"/>
      <c r="N1670" s="340"/>
      <c r="O1670" s="341"/>
    </row>
    <row r="1671" spans="1:15" ht="16.2">
      <c r="A1671" s="288"/>
      <c r="B1671" s="417" t="s">
        <v>1316</v>
      </c>
      <c r="C1671" s="388" t="str">
        <f t="shared" si="78"/>
        <v xml:space="preserve"> </v>
      </c>
      <c r="D1671" s="338">
        <f>VLOOKUP($B1671,DG!A:D,DG!$B$2,)</f>
        <v>0</v>
      </c>
      <c r="E1671" s="358" t="str">
        <f>VLOOKUP($B1671,DG!A:D,DG!$C$2,)</f>
        <v>Dây chảy 80K</v>
      </c>
      <c r="F1671" s="594" t="str">
        <f>VLOOKUP($B1671,DG!A:D,DG!$D$2,)</f>
        <v>Sợi</v>
      </c>
      <c r="G1671" s="595"/>
      <c r="H1671" s="355">
        <f t="shared" si="79"/>
        <v>0</v>
      </c>
      <c r="I1671" s="355">
        <f>H1671+J1671-K1671</f>
        <v>0</v>
      </c>
      <c r="J1671" s="355"/>
      <c r="K1671" s="355"/>
      <c r="L1671" s="367"/>
      <c r="M1671" s="332"/>
      <c r="N1671" s="340"/>
      <c r="O1671" s="341"/>
    </row>
    <row r="1672" spans="1:15" ht="16.2">
      <c r="A1672" s="288"/>
      <c r="B1672" s="417" t="s">
        <v>3818</v>
      </c>
      <c r="C1672" s="388" t="str">
        <f t="shared" si="78"/>
        <v xml:space="preserve"> </v>
      </c>
      <c r="D1672" s="338" t="str">
        <f>VLOOKUP($B1672,DG!A:D,DG!$B$2,)</f>
        <v>02.3505</v>
      </c>
      <c r="E1672" s="358" t="str">
        <f>VLOOKUP($B1672,DG!A:D,DG!$C$2,)&amp;" : lắp trụ đầu nhánh"</f>
        <v>LBFCO-24KV-200A : lắp trụ đầu nhánh</v>
      </c>
      <c r="F1672" s="594" t="str">
        <f>VLOOKUP($B1672,DG!A:D,DG!$D$2,)</f>
        <v>cái</v>
      </c>
      <c r="G1672" s="595"/>
      <c r="H1672" s="355">
        <f t="shared" si="79"/>
        <v>0</v>
      </c>
      <c r="I1672" s="355">
        <f>H1672+J1672-K1672</f>
        <v>0</v>
      </c>
      <c r="J1672" s="355"/>
      <c r="K1672" s="355"/>
      <c r="L1672" s="367"/>
      <c r="M1672" s="332"/>
      <c r="N1672" s="340"/>
      <c r="O1672" s="341"/>
    </row>
    <row r="1673" spans="1:15" ht="16.2">
      <c r="A1673" s="288"/>
      <c r="B1673" s="417" t="s">
        <v>1317</v>
      </c>
      <c r="C1673" s="388" t="str">
        <f t="shared" si="78"/>
        <v xml:space="preserve"> </v>
      </c>
      <c r="D1673" s="338">
        <f>VLOOKUP($B1673,DG!A:D,DG!$B$2,)</f>
        <v>0</v>
      </c>
      <c r="E1673" s="358" t="str">
        <f>VLOOKUP($B1673,DG!A:D,DG!$C$2,)</f>
        <v>Dây chảy 100K</v>
      </c>
      <c r="F1673" s="594" t="str">
        <f>VLOOKUP($B1673,DG!A:D,DG!$D$2,)</f>
        <v>Sợi</v>
      </c>
      <c r="G1673" s="595"/>
      <c r="H1673" s="355">
        <f t="shared" si="79"/>
        <v>0</v>
      </c>
      <c r="I1673" s="355">
        <f>H1673+J1673-K1673</f>
        <v>0</v>
      </c>
      <c r="J1673" s="355"/>
      <c r="K1673" s="355"/>
      <c r="L1673" s="367"/>
      <c r="M1673" s="332"/>
      <c r="N1673" s="340"/>
      <c r="O1673" s="341"/>
    </row>
    <row r="1674" spans="1:15" ht="16.2">
      <c r="A1674" s="288"/>
      <c r="B1674" s="417" t="s">
        <v>2977</v>
      </c>
      <c r="C1674" s="388" t="str">
        <f t="shared" si="78"/>
        <v xml:space="preserve"> </v>
      </c>
      <c r="D1674" s="338" t="str">
        <f>VLOOKUP($B1674,DG!A:D,DG!$B$2,)</f>
        <v>02.3505</v>
      </c>
      <c r="E1674" s="358" t="str">
        <f>VLOOKUP($B1674,DG!A:D,DG!$C$2,)</f>
        <v xml:space="preserve">FCO 24KV - 200A </v>
      </c>
      <c r="F1674" s="594" t="str">
        <f>VLOOKUP($B1674,DG!A:D,DG!$D$2,)</f>
        <v>cái</v>
      </c>
      <c r="G1674" s="595"/>
      <c r="H1674" s="355">
        <f t="shared" si="79"/>
        <v>0</v>
      </c>
      <c r="I1674" s="355">
        <f>H1674+J1674-K1674</f>
        <v>0</v>
      </c>
      <c r="J1674" s="355"/>
      <c r="K1674" s="355"/>
      <c r="L1674" s="367"/>
      <c r="M1674" s="332"/>
      <c r="N1674" s="340"/>
      <c r="O1674" s="341"/>
    </row>
    <row r="1675" spans="1:15" ht="16.2">
      <c r="B1675" s="319" t="s">
        <v>2975</v>
      </c>
      <c r="C1675" s="388" t="str">
        <f t="shared" si="78"/>
        <v xml:space="preserve"> </v>
      </c>
      <c r="D1675" s="338" t="str">
        <f>VLOOKUP($B1675,DG!A:D,DG!$B$2,)</f>
        <v>02.3155</v>
      </c>
      <c r="E1675" s="358" t="str">
        <f>VLOOKUP($B1675,DG!A:D,DG!$C$2,)</f>
        <v>FCO 24kV - 100A</v>
      </c>
      <c r="F1675" s="594" t="str">
        <f>VLOOKUP($B1675,DG!A:D,DG!$D$2,)</f>
        <v>cái</v>
      </c>
      <c r="G1675" s="595">
        <f>[3]pp3p1m!FU111</f>
        <v>0</v>
      </c>
      <c r="H1675" s="355">
        <f>G1675-M1675</f>
        <v>0</v>
      </c>
      <c r="I1675" s="355">
        <f>H1675+J1675-K1675</f>
        <v>0</v>
      </c>
      <c r="J1675" s="355"/>
      <c r="K1675" s="355"/>
      <c r="L1675" s="367"/>
      <c r="M1675" s="340"/>
      <c r="N1675" s="340"/>
      <c r="O1675" s="341"/>
    </row>
    <row r="1676" spans="1:15" ht="16.2">
      <c r="A1676" s="288"/>
      <c r="B1676" s="417" t="s">
        <v>1318</v>
      </c>
      <c r="C1676" s="388" t="str">
        <f t="shared" si="78"/>
        <v xml:space="preserve"> </v>
      </c>
      <c r="D1676" s="338">
        <f>VLOOKUP($B1676,DG!A:D,DG!$B$2,)</f>
        <v>0</v>
      </c>
      <c r="E1676" s="358" t="str">
        <f>VLOOKUP($B1676,DG!A:D,DG!$C$2,)</f>
        <v>Dây chảy 8K</v>
      </c>
      <c r="F1676" s="594" t="str">
        <f>VLOOKUP($B1676,DG!A:D,DG!$D$2,)</f>
        <v>Sợi</v>
      </c>
      <c r="G1676" s="595">
        <f>[3]pp3p1m!FU111</f>
        <v>0</v>
      </c>
      <c r="H1676" s="355">
        <f>G1676-M1676</f>
        <v>0</v>
      </c>
      <c r="I1676" s="355">
        <f>H1676+J1676-K1676</f>
        <v>0</v>
      </c>
      <c r="J1676" s="355"/>
      <c r="K1676" s="355"/>
      <c r="L1676" s="367"/>
      <c r="M1676" s="332"/>
      <c r="N1676" s="340"/>
      <c r="O1676" s="341"/>
    </row>
    <row r="1677" spans="1:15" ht="16.2">
      <c r="A1677" s="288"/>
      <c r="B1677" s="417" t="s">
        <v>1303</v>
      </c>
      <c r="C1677" s="388" t="str">
        <f t="shared" si="78"/>
        <v xml:space="preserve"> </v>
      </c>
      <c r="D1677" s="338">
        <f>VLOOKUP($B1677,DG!A:D,DG!$B$2,)</f>
        <v>0</v>
      </c>
      <c r="E1677" s="358" t="str">
        <f>VLOOKUP($B1677,DG!A:D,DG!$C$2,)</f>
        <v>Dây chảy 12K</v>
      </c>
      <c r="F1677" s="594" t="str">
        <f>VLOOKUP($B1677,DG!A:D,DG!$D$2,)</f>
        <v>Sợi</v>
      </c>
      <c r="G1677" s="595"/>
      <c r="H1677" s="355">
        <f>G1677-M1677</f>
        <v>0</v>
      </c>
      <c r="I1677" s="355">
        <f>H1677+J1677-K1677</f>
        <v>0</v>
      </c>
      <c r="J1677" s="355"/>
      <c r="K1677" s="355"/>
      <c r="L1677" s="367"/>
      <c r="M1677" s="332"/>
      <c r="N1677" s="340"/>
      <c r="O1677" s="341"/>
    </row>
    <row r="1678" spans="1:15" ht="16.2">
      <c r="A1678" s="288"/>
      <c r="B1678" s="417" t="s">
        <v>3819</v>
      </c>
      <c r="C1678" s="388" t="str">
        <f t="shared" si="78"/>
        <v xml:space="preserve"> </v>
      </c>
      <c r="D1678" s="338" t="str">
        <f>VLOOKUP($B1678,DG!A:D,DG!$B$2,)</f>
        <v>02.1114</v>
      </c>
      <c r="E1678" s="358" t="str">
        <f>VLOOKUP($B1678,DG!A:D,DG!$C$2,)</f>
        <v>Biến điện áp 12000/120(60)V</v>
      </c>
      <c r="F1678" s="594" t="str">
        <f>VLOOKUP($B1678,DG!A:D,DG!$D$2,)</f>
        <v>cái</v>
      </c>
      <c r="G1678" s="595">
        <f>G1689*3</f>
        <v>0</v>
      </c>
      <c r="H1678" s="355">
        <f t="shared" si="79"/>
        <v>0</v>
      </c>
      <c r="I1678" s="355">
        <f>H1678+J1678-K1678</f>
        <v>0</v>
      </c>
      <c r="J1678" s="355"/>
      <c r="K1678" s="355"/>
      <c r="L1678" s="367"/>
      <c r="M1678" s="332"/>
      <c r="N1678" s="340"/>
      <c r="O1678" s="341"/>
    </row>
    <row r="1679" spans="1:15" ht="16.2">
      <c r="A1679" s="288"/>
      <c r="B1679" s="417" t="s">
        <v>1319</v>
      </c>
      <c r="C1679" s="388" t="str">
        <f t="shared" si="78"/>
        <v xml:space="preserve"> </v>
      </c>
      <c r="D1679" s="338" t="str">
        <f>VLOOKUP($B1679,DG!A:D,DG!$B$2,)</f>
        <v>02.1124</v>
      </c>
      <c r="E1679" s="358" t="str">
        <f>VLOOKUP($B1679,DG!A:D,DG!$C$2,)</f>
        <v>Biến dòng 24kV  20/5A</v>
      </c>
      <c r="F1679" s="594" t="str">
        <f>VLOOKUP($B1679,DG!A:D,DG!$D$2,)</f>
        <v>cái</v>
      </c>
      <c r="G1679" s="595">
        <f>G1678</f>
        <v>0</v>
      </c>
      <c r="H1679" s="355">
        <f t="shared" si="79"/>
        <v>0</v>
      </c>
      <c r="I1679" s="355">
        <f>H1679+J1679-K1679</f>
        <v>0</v>
      </c>
      <c r="J1679" s="355"/>
      <c r="K1679" s="355"/>
      <c r="L1679" s="367"/>
      <c r="M1679" s="332"/>
      <c r="N1679" s="340"/>
      <c r="O1679" s="341"/>
    </row>
    <row r="1680" spans="1:15" ht="16.2">
      <c r="A1680" s="288"/>
      <c r="B1680" s="417" t="s">
        <v>1320</v>
      </c>
      <c r="C1680" s="388" t="str">
        <f t="shared" si="78"/>
        <v xml:space="preserve"> </v>
      </c>
      <c r="D1680" s="338">
        <f>VLOOKUP($B1680,DG!A:D,DG!$B$2,)</f>
        <v>0</v>
      </c>
      <c r="E1680" s="358" t="str">
        <f>VLOOKUP($B1680,DG!A:D,DG!$C$2,)</f>
        <v>Điện kế 3 pha điện tử 600V-5A</v>
      </c>
      <c r="F1680" s="594" t="str">
        <f>VLOOKUP($B1680,DG!A:D,DG!$D$2,)</f>
        <v>cái</v>
      </c>
      <c r="G1680" s="595">
        <f>G1689</f>
        <v>0</v>
      </c>
      <c r="H1680" s="355">
        <f t="shared" si="79"/>
        <v>0</v>
      </c>
      <c r="I1680" s="355">
        <f>H1680+J1680-K1680</f>
        <v>0</v>
      </c>
      <c r="J1680" s="355"/>
      <c r="K1680" s="355"/>
      <c r="L1680" s="367"/>
      <c r="M1680" s="332"/>
      <c r="N1680" s="340"/>
      <c r="O1680" s="341"/>
    </row>
    <row r="1681" spans="1:15" ht="16.2">
      <c r="A1681" s="288"/>
      <c r="B1681" s="417" t="s">
        <v>1305</v>
      </c>
      <c r="C1681" s="388" t="str">
        <f t="shared" si="78"/>
        <v xml:space="preserve"> </v>
      </c>
      <c r="D1681" s="338" t="str">
        <f>VLOOKUP($B1681,DG!A:D,DG!$B$2,)</f>
        <v>02.3302</v>
      </c>
      <c r="E1681" s="358" t="str">
        <f>VLOOKUP($B1681,DG!A:D,DG!$C$2,)</f>
        <v xml:space="preserve">DS 1P - 24KV - 600A </v>
      </c>
      <c r="F1681" s="594" t="str">
        <f>VLOOKUP($B1681,DG!A:D,DG!$D$2,)</f>
        <v>bộ</v>
      </c>
      <c r="G1681" s="595"/>
      <c r="H1681" s="355">
        <f t="shared" si="79"/>
        <v>0</v>
      </c>
      <c r="I1681" s="355">
        <f>H1681+J1681-K1681</f>
        <v>0</v>
      </c>
      <c r="J1681" s="355"/>
      <c r="K1681" s="355"/>
      <c r="L1681" s="367"/>
      <c r="M1681" s="332"/>
      <c r="N1681" s="340"/>
      <c r="O1681" s="341"/>
    </row>
    <row r="1682" spans="1:15" ht="16.2">
      <c r="A1682" s="288"/>
      <c r="B1682" s="417" t="s">
        <v>1311</v>
      </c>
      <c r="C1682" s="388" t="str">
        <f t="shared" si="78"/>
        <v xml:space="preserve"> </v>
      </c>
      <c r="D1682" s="338" t="str">
        <f>VLOOKUP($B1682,DG!A:D,DG!$B$2,)</f>
        <v>02.3302</v>
      </c>
      <c r="E1682" s="358" t="str">
        <f>VLOOKUP($B1682,DG!A:D,DG!$C$2,)</f>
        <v xml:space="preserve">DS 3P - 24KV - 630A </v>
      </c>
      <c r="F1682" s="594" t="str">
        <f>VLOOKUP($B1682,DG!A:D,DG!$D$2,)</f>
        <v>bộ</v>
      </c>
      <c r="G1682" s="595"/>
      <c r="H1682" s="355">
        <f t="shared" si="79"/>
        <v>0</v>
      </c>
      <c r="I1682" s="355">
        <f>H1682+J1682-K1682</f>
        <v>0</v>
      </c>
      <c r="J1682" s="355"/>
      <c r="K1682" s="355"/>
      <c r="L1682" s="367"/>
      <c r="M1682" s="332"/>
      <c r="N1682" s="340"/>
      <c r="O1682" s="341"/>
    </row>
    <row r="1683" spans="1:15" ht="16.2">
      <c r="A1683" s="288"/>
      <c r="B1683" s="417" t="s">
        <v>1307</v>
      </c>
      <c r="C1683" s="388" t="str">
        <f t="shared" si="78"/>
        <v xml:space="preserve"> </v>
      </c>
      <c r="D1683" s="338" t="str">
        <f>VLOOKUP($B1683,DG!A:D,DG!$B$2,)</f>
        <v>02.2124</v>
      </c>
      <c r="E1683" s="358" t="str">
        <f>VLOOKUP($B1683,DG!A:D,DG!$C$2,)</f>
        <v>LBS SF6 3pha 24kV 630A - 16kA</v>
      </c>
      <c r="F1683" s="594" t="str">
        <f>VLOOKUP($B1683,DG!A:D,DG!$D$2,)</f>
        <v>bộ</v>
      </c>
      <c r="G1683" s="595"/>
      <c r="H1683" s="355">
        <f t="shared" si="79"/>
        <v>0</v>
      </c>
      <c r="I1683" s="355">
        <f>H1683+J1683-K1683</f>
        <v>0</v>
      </c>
      <c r="J1683" s="355"/>
      <c r="K1683" s="355"/>
      <c r="L1683" s="367"/>
      <c r="M1683" s="332"/>
      <c r="N1683" s="340"/>
      <c r="O1683" s="341"/>
    </row>
    <row r="1684" spans="1:15" ht="16.2">
      <c r="A1684" s="288"/>
      <c r="B1684" s="417" t="s">
        <v>1308</v>
      </c>
      <c r="C1684" s="388" t="str">
        <f t="shared" si="78"/>
        <v xml:space="preserve"> </v>
      </c>
      <c r="D1684" s="338" t="str">
        <f>VLOOKUP($B1684,DG!A:D,DG!$B$2,)</f>
        <v>02.2124</v>
      </c>
      <c r="E1684" s="358" t="str">
        <f>VLOOKUP($B1684,DG!A:D,DG!$C$2,)</f>
        <v>Recloser 24kV 630-800A</v>
      </c>
      <c r="F1684" s="594" t="str">
        <f>VLOOKUP($B1684,DG!A:D,DG!$D$2,)</f>
        <v>bộ</v>
      </c>
      <c r="G1684" s="595"/>
      <c r="H1684" s="355">
        <f t="shared" si="79"/>
        <v>0</v>
      </c>
      <c r="I1684" s="355">
        <f>H1684+J1684-K1684</f>
        <v>0</v>
      </c>
      <c r="J1684" s="355"/>
      <c r="K1684" s="355"/>
      <c r="L1684" s="367"/>
      <c r="M1684" s="332"/>
      <c r="N1684" s="340"/>
      <c r="O1684" s="341"/>
    </row>
    <row r="1685" spans="1:15" ht="16.2">
      <c r="A1685" s="288"/>
      <c r="B1685" s="417" t="s">
        <v>1052</v>
      </c>
      <c r="C1685" s="388" t="str">
        <f t="shared" si="78"/>
        <v xml:space="preserve"> </v>
      </c>
      <c r="D1685" s="338" t="str">
        <f>VLOOKUP($B1685,DG!A:D,DG!$B$2,)</f>
        <v>02.5114</v>
      </c>
      <c r="E1685" s="358" t="str">
        <f>VLOOKUP($B1685,DG!A:D,DG!$C$2,)</f>
        <v>LA 18kV 10kA</v>
      </c>
      <c r="F1685" s="594" t="str">
        <f>VLOOKUP($B1685,DG!A:D,DG!$D$2,)</f>
        <v>cái</v>
      </c>
      <c r="G1685" s="595"/>
      <c r="H1685" s="355">
        <f>G1685</f>
        <v>0</v>
      </c>
      <c r="I1685" s="355">
        <f>H1685+J1685-K1685</f>
        <v>0</v>
      </c>
      <c r="J1685" s="355"/>
      <c r="K1685" s="355"/>
      <c r="L1685" s="367"/>
      <c r="M1685" s="332"/>
      <c r="N1685" s="340"/>
      <c r="O1685" s="341"/>
    </row>
    <row r="1686" spans="1:15" ht="16.2">
      <c r="A1686" s="288"/>
      <c r="B1686" s="417" t="s">
        <v>1312</v>
      </c>
      <c r="C1686" s="388" t="str">
        <f t="shared" si="78"/>
        <v xml:space="preserve"> </v>
      </c>
      <c r="D1686" s="338" t="str">
        <f>VLOOKUP($B1686,DG!A:D,DG!$B$2,)</f>
        <v>02.5114</v>
      </c>
      <c r="E1686" s="358" t="str">
        <f>VLOOKUP($B1686,DG!A:D,DG!$C$2,)</f>
        <v>LA 12kV 10kA</v>
      </c>
      <c r="F1686" s="594" t="str">
        <f>VLOOKUP($B1686,DG!A:D,DG!$D$2,)</f>
        <v>cái</v>
      </c>
      <c r="G1686" s="595"/>
      <c r="H1686" s="355">
        <f>G1686</f>
        <v>0</v>
      </c>
      <c r="I1686" s="355">
        <f>H1686+J1686-K1686</f>
        <v>0</v>
      </c>
      <c r="J1686" s="355"/>
      <c r="K1686" s="355"/>
      <c r="L1686" s="367"/>
      <c r="M1686" s="332"/>
      <c r="N1686" s="340"/>
      <c r="O1686" s="341"/>
    </row>
    <row r="1687" spans="1:15" ht="16.2">
      <c r="A1687" s="288"/>
      <c r="B1687" s="417" t="s">
        <v>1321</v>
      </c>
      <c r="C1687" s="388" t="str">
        <f t="shared" si="78"/>
        <v xml:space="preserve"> </v>
      </c>
      <c r="D1687" s="338">
        <f>VLOOKUP($B1687,DG!A:D,DG!$B$2,)</f>
        <v>0</v>
      </c>
      <c r="E1687" s="358" t="str">
        <f>VLOOKUP($B1687,DG!A:D,DG!$C$2,)</f>
        <v>Bass LI bắt FCO</v>
      </c>
      <c r="F1687" s="594" t="str">
        <f>VLOOKUP($B1687,DG!A:D,DG!$D$2,)</f>
        <v>Bộ</v>
      </c>
      <c r="G1687" s="595"/>
      <c r="H1687" s="355">
        <f t="shared" si="79"/>
        <v>0</v>
      </c>
      <c r="I1687" s="355">
        <f>H1687+J1687-K1687</f>
        <v>0</v>
      </c>
      <c r="J1687" s="355"/>
      <c r="K1687" s="355"/>
      <c r="L1687" s="367"/>
      <c r="M1687" s="332"/>
      <c r="N1687" s="340"/>
      <c r="O1687" s="341"/>
    </row>
    <row r="1688" spans="1:15" ht="16.2">
      <c r="A1688" s="288"/>
      <c r="B1688" s="417" t="s">
        <v>1158</v>
      </c>
      <c r="C1688" s="388" t="str">
        <f t="shared" si="78"/>
        <v xml:space="preserve"> </v>
      </c>
      <c r="D1688" s="338">
        <f>VLOOKUP($B1688,DG!A:D,DG!$B$2,)</f>
        <v>0</v>
      </c>
      <c r="E1688" s="358" t="str">
        <f>VLOOKUP($B1688,DG!A:D,DG!$C$2,)</f>
        <v>Chụp đầu cực FCO (bộ 2 cái)</v>
      </c>
      <c r="F1688" s="594" t="str">
        <f>VLOOKUP($B1688,DG!A:D,DG!$D$2,)</f>
        <v>bộ</v>
      </c>
      <c r="G1688" s="595"/>
      <c r="H1688" s="355">
        <f t="shared" si="79"/>
        <v>0</v>
      </c>
      <c r="I1688" s="355">
        <f>H1688+J1688-K1688</f>
        <v>0</v>
      </c>
      <c r="J1688" s="355"/>
      <c r="K1688" s="355"/>
      <c r="L1688" s="367"/>
      <c r="M1688" s="332"/>
      <c r="N1688" s="340"/>
      <c r="O1688" s="341"/>
    </row>
    <row r="1689" spans="1:15" ht="16.2">
      <c r="A1689" s="342" t="s">
        <v>1322</v>
      </c>
      <c r="B1689" s="343" t="s">
        <v>1322</v>
      </c>
      <c r="C1689" s="388" t="str">
        <f t="shared" si="78"/>
        <v xml:space="preserve"> </v>
      </c>
      <c r="D1689" s="347" t="s">
        <v>1323</v>
      </c>
      <c r="E1689" s="346" t="s">
        <v>1324</v>
      </c>
      <c r="F1689" s="593"/>
      <c r="G1689" s="349"/>
      <c r="H1689" s="349">
        <f>IFERROR(HLOOKUP(B1689,'BKT-ThuHoi'!$5:$183,179,0),0)</f>
        <v>0</v>
      </c>
      <c r="I1689" s="350"/>
      <c r="J1689" s="350"/>
      <c r="K1689" s="350"/>
      <c r="L1689" s="348"/>
      <c r="M1689" s="332"/>
      <c r="N1689" s="340"/>
      <c r="O1689" s="341"/>
    </row>
    <row r="1690" spans="1:15" ht="16.2">
      <c r="A1690" s="288"/>
      <c r="B1690" s="444" t="s">
        <v>1325</v>
      </c>
      <c r="C1690" s="388" t="str">
        <f t="shared" si="78"/>
        <v xml:space="preserve"> </v>
      </c>
      <c r="D1690" s="338" t="str">
        <f>VLOOKUP($B1690,DG!A:D,DG!$B$2,)</f>
        <v>03.1401</v>
      </c>
      <c r="E1690" s="358" t="str">
        <f>VLOOKUP($B1690,DG!A:D,DG!$C$2,)</f>
        <v xml:space="preserve">Cáp CVV 4x2,5mm2  </v>
      </c>
      <c r="F1690" s="594" t="str">
        <f>VLOOKUP($B1690,DG!A:D,DG!$D$2,)</f>
        <v>mét</v>
      </c>
      <c r="G1690" s="595">
        <f>G1689*26</f>
        <v>0</v>
      </c>
      <c r="H1690" s="355">
        <f t="shared" si="79"/>
        <v>0</v>
      </c>
      <c r="I1690" s="355">
        <f>H1690+J1690-K1690</f>
        <v>0</v>
      </c>
      <c r="J1690" s="355"/>
      <c r="K1690" s="355"/>
      <c r="L1690" s="367"/>
      <c r="M1690" s="332"/>
      <c r="N1690" s="340"/>
      <c r="O1690" s="341"/>
    </row>
    <row r="1691" spans="1:15" ht="16.2">
      <c r="A1691" s="288"/>
      <c r="B1691" s="444" t="s">
        <v>1326</v>
      </c>
      <c r="C1691" s="388" t="str">
        <f t="shared" si="78"/>
        <v xml:space="preserve"> </v>
      </c>
      <c r="D1691" s="338" t="str">
        <f>VLOOKUP($B1691,DG!A:D,DG!$B$2,)</f>
        <v>05.6101</v>
      </c>
      <c r="E1691" s="358" t="str">
        <f>VLOOKUP($B1691,DG!A:D,DG!$C$2,)</f>
        <v>Xà kẹp TU, TI U50x32x4 350</v>
      </c>
      <c r="F1691" s="594" t="str">
        <f>VLOOKUP($B1691,DG!A:D,DG!$D$2,)</f>
        <v>Bộ</v>
      </c>
      <c r="G1691" s="595">
        <f>G1689*24</f>
        <v>0</v>
      </c>
      <c r="H1691" s="355">
        <f t="shared" si="79"/>
        <v>0</v>
      </c>
      <c r="I1691" s="355">
        <f>H1691+J1691-K1691</f>
        <v>0</v>
      </c>
      <c r="J1691" s="355"/>
      <c r="K1691" s="355"/>
      <c r="L1691" s="367"/>
      <c r="M1691" s="332"/>
      <c r="N1691" s="340"/>
      <c r="O1691" s="341"/>
    </row>
    <row r="1692" spans="1:15" ht="16.2">
      <c r="A1692" s="288"/>
      <c r="B1692" s="444" t="s">
        <v>1321</v>
      </c>
      <c r="C1692" s="388" t="str">
        <f t="shared" si="78"/>
        <v xml:space="preserve"> </v>
      </c>
      <c r="D1692" s="338">
        <f>VLOOKUP($B1692,DG!A:D,DG!$B$2,)</f>
        <v>0</v>
      </c>
      <c r="E1692" s="358" t="str">
        <f>VLOOKUP($B1692,DG!A:D,DG!$C$2,)</f>
        <v>Bass LI bắt FCO</v>
      </c>
      <c r="F1692" s="594" t="str">
        <f>VLOOKUP($B1692,DG!A:D,DG!$D$2,)</f>
        <v>Bộ</v>
      </c>
      <c r="G1692" s="595">
        <f>G1689*6*0</f>
        <v>0</v>
      </c>
      <c r="H1692" s="355">
        <f t="shared" si="79"/>
        <v>0</v>
      </c>
      <c r="I1692" s="355">
        <f>H1692+J1692-K1692</f>
        <v>0</v>
      </c>
      <c r="J1692" s="355"/>
      <c r="K1692" s="355"/>
      <c r="L1692" s="367"/>
      <c r="M1692" s="332"/>
      <c r="N1692" s="340"/>
      <c r="O1692" s="341"/>
    </row>
    <row r="1693" spans="1:15" ht="16.2">
      <c r="A1693" s="288"/>
      <c r="B1693" s="444" t="s">
        <v>1268</v>
      </c>
      <c r="C1693" s="388" t="str">
        <f t="shared" si="78"/>
        <v xml:space="preserve"> </v>
      </c>
      <c r="D1693" s="338" t="str">
        <f>VLOOKUP($B1693,DG!A:D,DG!$B$2,)</f>
        <v>03.4001</v>
      </c>
      <c r="E1693" s="358" t="str">
        <f>VLOOKUP($B1693,DG!A:D,DG!$C$2,)</f>
        <v xml:space="preserve">Đầu cosse ép Cu 2,5mm2 + bao PVC </v>
      </c>
      <c r="F1693" s="594" t="str">
        <f>VLOOKUP($B1693,DG!A:D,DG!$D$2,)</f>
        <v>cái</v>
      </c>
      <c r="G1693" s="595">
        <f>G1689*16</f>
        <v>0</v>
      </c>
      <c r="H1693" s="355">
        <f t="shared" si="79"/>
        <v>0</v>
      </c>
      <c r="I1693" s="355">
        <f>H1693+J1693-K1693</f>
        <v>0</v>
      </c>
      <c r="J1693" s="355"/>
      <c r="K1693" s="355"/>
      <c r="L1693" s="367"/>
      <c r="M1693" s="332"/>
      <c r="N1693" s="340"/>
      <c r="O1693" s="341"/>
    </row>
    <row r="1694" spans="1:15" ht="16.2">
      <c r="A1694" s="288"/>
      <c r="B1694" s="444" t="s">
        <v>1327</v>
      </c>
      <c r="C1694" s="388" t="str">
        <f t="shared" si="78"/>
        <v xml:space="preserve"> </v>
      </c>
      <c r="D1694" s="338">
        <f>VLOOKUP($B1694,DG!A:D,DG!$B$2,)</f>
        <v>0</v>
      </c>
      <c r="E1694" s="358" t="str">
        <f>VLOOKUP($B1694,DG!A:D,DG!$C$2,)</f>
        <v>Dây điện đôi 16/10</v>
      </c>
      <c r="F1694" s="594" t="str">
        <f>VLOOKUP($B1694,DG!A:D,DG!$D$2,)</f>
        <v>mét</v>
      </c>
      <c r="G1694" s="595">
        <f>6*G1689</f>
        <v>0</v>
      </c>
      <c r="H1694" s="355">
        <f t="shared" si="79"/>
        <v>0</v>
      </c>
      <c r="I1694" s="355">
        <f>H1694+J1694-K1694</f>
        <v>0</v>
      </c>
      <c r="J1694" s="355"/>
      <c r="K1694" s="355"/>
      <c r="L1694" s="367"/>
      <c r="M1694" s="332"/>
      <c r="N1694" s="340"/>
      <c r="O1694" s="341"/>
    </row>
    <row r="1695" spans="1:15" ht="16.2">
      <c r="A1695" s="288"/>
      <c r="B1695" s="444" t="s">
        <v>1102</v>
      </c>
      <c r="C1695" s="388" t="str">
        <f t="shared" si="78"/>
        <v xml:space="preserve"> </v>
      </c>
      <c r="D1695" s="338" t="str">
        <f>VLOOKUP($B1695,DG!A:D,DG!$B$2,)</f>
        <v>04.3107</v>
      </c>
      <c r="E1695" s="358" t="str">
        <f>VLOOKUP($B1695,DG!A:D,DG!$C$2,)</f>
        <v>Ốc xiết cáp cỡ 25mm2</v>
      </c>
      <c r="F1695" s="594" t="str">
        <f>VLOOKUP($B1695,DG!A:D,DG!$D$2,)</f>
        <v>cái</v>
      </c>
      <c r="G1695" s="595">
        <f>+G1689*3</f>
        <v>0</v>
      </c>
      <c r="H1695" s="355">
        <f t="shared" si="79"/>
        <v>0</v>
      </c>
      <c r="I1695" s="355">
        <f>H1695+J1695-K1695</f>
        <v>0</v>
      </c>
      <c r="J1695" s="355"/>
      <c r="K1695" s="355"/>
      <c r="L1695" s="367"/>
      <c r="M1695" s="332"/>
      <c r="N1695" s="340"/>
      <c r="O1695" s="341"/>
    </row>
    <row r="1696" spans="1:15" ht="16.2">
      <c r="A1696" s="288"/>
      <c r="B1696" s="444" t="s">
        <v>1279</v>
      </c>
      <c r="C1696" s="388" t="str">
        <f t="shared" si="78"/>
        <v xml:space="preserve"> </v>
      </c>
      <c r="D1696" s="338" t="str">
        <f>VLOOKUP($B1696,DG!A:D,DG!$B$2,)</f>
        <v>07.2403</v>
      </c>
      <c r="E1696" s="358" t="str">
        <f>VLOOKUP($B1696,DG!A:D,DG!$C$2,)</f>
        <v>Ống PVC D42x2,1mm</v>
      </c>
      <c r="F1696" s="594" t="str">
        <f>VLOOKUP($B1696,DG!A:D,DG!$D$2,)</f>
        <v>m</v>
      </c>
      <c r="G1696" s="595">
        <f>G1707*18</f>
        <v>0</v>
      </c>
      <c r="H1696" s="355">
        <f t="shared" si="79"/>
        <v>0</v>
      </c>
      <c r="I1696" s="355">
        <f>H1696+J1696-K1696</f>
        <v>0</v>
      </c>
      <c r="J1696" s="355"/>
      <c r="K1696" s="355"/>
      <c r="L1696" s="367"/>
      <c r="M1696" s="332"/>
      <c r="N1696" s="340"/>
      <c r="O1696" s="341"/>
    </row>
    <row r="1697" spans="1:15" ht="16.2">
      <c r="A1697" s="288"/>
      <c r="B1697" s="444" t="s">
        <v>1328</v>
      </c>
      <c r="C1697" s="388" t="str">
        <f t="shared" si="78"/>
        <v xml:space="preserve"> </v>
      </c>
      <c r="D1697" s="338" t="str">
        <f>VLOOKUP($B1697,DG!A:D,DG!$B$2,)</f>
        <v>06.3231</v>
      </c>
      <c r="E1697" s="358" t="str">
        <f>VLOOKUP($B1697,DG!A:D,DG!$C$2,)</f>
        <v>Côllier 25x2</v>
      </c>
      <c r="F1697" s="594" t="str">
        <f>VLOOKUP($B1697,DG!A:D,DG!$D$2,)</f>
        <v>bộ</v>
      </c>
      <c r="G1697" s="595">
        <f>G1689*4</f>
        <v>0</v>
      </c>
      <c r="H1697" s="355">
        <f t="shared" si="79"/>
        <v>0</v>
      </c>
      <c r="I1697" s="355">
        <f>H1697+J1697-K1697</f>
        <v>0</v>
      </c>
      <c r="J1697" s="355"/>
      <c r="K1697" s="355"/>
      <c r="L1697" s="367"/>
      <c r="M1697" s="332"/>
      <c r="N1697" s="340"/>
      <c r="O1697" s="341"/>
    </row>
    <row r="1698" spans="1:15" ht="16.2">
      <c r="A1698" s="288"/>
      <c r="B1698" s="444" t="s">
        <v>1223</v>
      </c>
      <c r="C1698" s="388" t="str">
        <f t="shared" si="78"/>
        <v xml:space="preserve"> </v>
      </c>
      <c r="D1698" s="338">
        <f>VLOOKUP($B1698,DG!A:D,DG!$B$2,)</f>
        <v>0</v>
      </c>
      <c r="E1698" s="358" t="str">
        <f>VLOOKUP($B1698,DG!A:D,DG!$C$2,)</f>
        <v>Co 90 độ PVC 42</v>
      </c>
      <c r="F1698" s="594" t="str">
        <f>VLOOKUP($B1698,DG!A:D,DG!$D$2,)</f>
        <v>cái</v>
      </c>
      <c r="G1698" s="595">
        <f>G1689*8</f>
        <v>0</v>
      </c>
      <c r="H1698" s="355">
        <f t="shared" si="79"/>
        <v>0</v>
      </c>
      <c r="I1698" s="355">
        <f>H1698+J1698-K1698</f>
        <v>0</v>
      </c>
      <c r="J1698" s="355"/>
      <c r="K1698" s="355"/>
      <c r="L1698" s="367"/>
      <c r="M1698" s="332"/>
      <c r="N1698" s="340"/>
      <c r="O1698" s="341"/>
    </row>
    <row r="1699" spans="1:15" ht="16.2">
      <c r="A1699" s="288"/>
      <c r="B1699" s="444" t="s">
        <v>1329</v>
      </c>
      <c r="C1699" s="388" t="str">
        <f t="shared" si="78"/>
        <v xml:space="preserve"> </v>
      </c>
      <c r="D1699" s="338">
        <f>VLOOKUP($B1699,DG!A:D,DG!$B$2,)</f>
        <v>0</v>
      </c>
      <c r="E1699" s="358" t="str">
        <f>VLOOKUP($B1699,DG!A:D,DG!$C$2,)</f>
        <v>Co chữ T ống PVC 42</v>
      </c>
      <c r="F1699" s="594" t="str">
        <f>VLOOKUP($B1699,DG!A:D,DG!$D$2,)</f>
        <v>cái</v>
      </c>
      <c r="G1699" s="595">
        <f>G1689*4</f>
        <v>0</v>
      </c>
      <c r="H1699" s="355">
        <f t="shared" si="79"/>
        <v>0</v>
      </c>
      <c r="I1699" s="355">
        <f>H1699+J1699-K1699</f>
        <v>0</v>
      </c>
      <c r="J1699" s="355"/>
      <c r="K1699" s="355"/>
      <c r="L1699" s="367"/>
      <c r="M1699" s="332"/>
      <c r="N1699" s="340"/>
      <c r="O1699" s="341"/>
    </row>
    <row r="1700" spans="1:15" ht="16.2">
      <c r="A1700" s="288"/>
      <c r="B1700" s="444" t="s">
        <v>1330</v>
      </c>
      <c r="C1700" s="388" t="str">
        <f t="shared" si="78"/>
        <v xml:space="preserve"> </v>
      </c>
      <c r="D1700" s="338">
        <f>VLOOKUP($B1700,DG!A:D,DG!$B$2,)</f>
        <v>0</v>
      </c>
      <c r="E1700" s="358" t="str">
        <f>VLOOKUP($B1700,DG!A:D,DG!$C$2,)</f>
        <v>Nối thẳng ống PVC 42</v>
      </c>
      <c r="F1700" s="594" t="str">
        <f>VLOOKUP($B1700,DG!A:D,DG!$D$2,)</f>
        <v>cái</v>
      </c>
      <c r="G1700" s="595">
        <f>G1689*2</f>
        <v>0</v>
      </c>
      <c r="H1700" s="355">
        <f t="shared" si="79"/>
        <v>0</v>
      </c>
      <c r="I1700" s="355">
        <f>H1700+J1700-K1700</f>
        <v>0</v>
      </c>
      <c r="J1700" s="355"/>
      <c r="K1700" s="355"/>
      <c r="L1700" s="367"/>
      <c r="M1700" s="332"/>
      <c r="N1700" s="340"/>
      <c r="O1700" s="341"/>
    </row>
    <row r="1701" spans="1:15" ht="16.8">
      <c r="A1701" s="288"/>
      <c r="B1701" s="445" t="s">
        <v>1114</v>
      </c>
      <c r="C1701" s="388" t="str">
        <f t="shared" si="78"/>
        <v xml:space="preserve"> </v>
      </c>
      <c r="D1701" s="338">
        <f>VLOOKUP($B1701,DG!A:D,DG!$B$2,)</f>
        <v>0</v>
      </c>
      <c r="E1701" s="358" t="str">
        <f>VLOOKUP($B1701,DG!A:D,DG!$C$2,)</f>
        <v>Cáp 24KV C/XLPE/PVC 25mm2</v>
      </c>
      <c r="F1701" s="594" t="str">
        <f>VLOOKUP($B1701,DG!A:D,DG!$D$2,)</f>
        <v>mét</v>
      </c>
      <c r="G1701" s="595">
        <f>G1689*(2)*3</f>
        <v>0</v>
      </c>
      <c r="H1701" s="355">
        <f t="shared" si="79"/>
        <v>0</v>
      </c>
      <c r="I1701" s="355">
        <f>H1701+J1701-K1701</f>
        <v>0</v>
      </c>
      <c r="J1701" s="355"/>
      <c r="K1701" s="355"/>
      <c r="L1701" s="367"/>
      <c r="M1701" s="332"/>
      <c r="N1701" s="340"/>
      <c r="O1701" s="341"/>
    </row>
    <row r="1702" spans="1:15" ht="16.2">
      <c r="A1702" s="288"/>
      <c r="B1702" s="444" t="s">
        <v>1331</v>
      </c>
      <c r="C1702" s="388" t="str">
        <f t="shared" si="78"/>
        <v xml:space="preserve"> </v>
      </c>
      <c r="D1702" s="338">
        <f>VLOOKUP($B1702,DG!A:D,DG!$B$2,)</f>
        <v>0</v>
      </c>
      <c r="E1702" s="358" t="str">
        <f>VLOOKUP($B1702,DG!A:D,DG!$C$2,)</f>
        <v>Keo dán ống PVC (500gr)</v>
      </c>
      <c r="F1702" s="594" t="str">
        <f>VLOOKUP($B1702,DG!A:D,DG!$D$2,)</f>
        <v>lon</v>
      </c>
      <c r="G1702" s="595">
        <f>G1689*2</f>
        <v>0</v>
      </c>
      <c r="H1702" s="355">
        <f t="shared" si="79"/>
        <v>0</v>
      </c>
      <c r="I1702" s="355">
        <f>H1702+J1702-K1702</f>
        <v>0</v>
      </c>
      <c r="J1702" s="355"/>
      <c r="K1702" s="355"/>
      <c r="L1702" s="367"/>
      <c r="M1702" s="332"/>
      <c r="N1702" s="340"/>
      <c r="O1702" s="341"/>
    </row>
    <row r="1703" spans="1:15" ht="16.2">
      <c r="A1703" s="288"/>
      <c r="B1703" s="444" t="s">
        <v>1231</v>
      </c>
      <c r="C1703" s="388" t="str">
        <f t="shared" si="78"/>
        <v xml:space="preserve"> </v>
      </c>
      <c r="D1703" s="338">
        <f>VLOOKUP($B1703,DG!A:D,DG!$B$2,)</f>
        <v>0</v>
      </c>
      <c r="E1703" s="358" t="str">
        <f>VLOOKUP($B1703,DG!A:D,DG!$C$2,)</f>
        <v>Băng keo cách điện</v>
      </c>
      <c r="F1703" s="594" t="str">
        <f>VLOOKUP($B1703,DG!A:D,DG!$D$2,)</f>
        <v>cuộn</v>
      </c>
      <c r="G1703" s="595">
        <f>G1689*2</f>
        <v>0</v>
      </c>
      <c r="H1703" s="355">
        <f t="shared" si="79"/>
        <v>0</v>
      </c>
      <c r="I1703" s="355">
        <f>H1703+J1703-K1703</f>
        <v>0</v>
      </c>
      <c r="J1703" s="355"/>
      <c r="K1703" s="355"/>
      <c r="L1703" s="367"/>
      <c r="M1703" s="332"/>
      <c r="N1703" s="340"/>
      <c r="O1703" s="341"/>
    </row>
    <row r="1704" spans="1:15" ht="16.2">
      <c r="A1704" s="288"/>
      <c r="B1704" s="444" t="s">
        <v>1332</v>
      </c>
      <c r="C1704" s="388" t="str">
        <f t="shared" si="78"/>
        <v xml:space="preserve"> </v>
      </c>
      <c r="D1704" s="338">
        <f>VLOOKUP($B1704,DG!A:D,DG!$B$2,)</f>
        <v>0</v>
      </c>
      <c r="E1704" s="358" t="str">
        <f>VLOOKUP($B1704,DG!A:D,DG!$C$2,)</f>
        <v>Khâu ven răng trong D42</v>
      </c>
      <c r="F1704" s="594" t="str">
        <f>VLOOKUP($B1704,DG!A:D,DG!$D$2,)</f>
        <v>cái</v>
      </c>
      <c r="G1704" s="595">
        <f>G1689*4</f>
        <v>0</v>
      </c>
      <c r="H1704" s="355">
        <f t="shared" si="79"/>
        <v>0</v>
      </c>
      <c r="I1704" s="355">
        <f>H1704+J1704-K1704</f>
        <v>0</v>
      </c>
      <c r="J1704" s="355"/>
      <c r="K1704" s="355"/>
      <c r="L1704" s="367"/>
      <c r="M1704" s="332"/>
      <c r="N1704" s="340"/>
      <c r="O1704" s="341"/>
    </row>
    <row r="1705" spans="1:15" ht="16.2">
      <c r="A1705" s="288"/>
      <c r="B1705" s="444" t="s">
        <v>1333</v>
      </c>
      <c r="C1705" s="388" t="str">
        <f t="shared" si="78"/>
        <v xml:space="preserve"> </v>
      </c>
      <c r="D1705" s="338">
        <f>VLOOKUP($B1705,DG!A:D,DG!$B$2,)</f>
        <v>0</v>
      </c>
      <c r="E1705" s="358" t="str">
        <f>VLOOKUP($B1705,DG!A:D,DG!$C$2,)</f>
        <v>Khâu ven răng ngoài D42</v>
      </c>
      <c r="F1705" s="594" t="str">
        <f>VLOOKUP($B1705,DG!A:D,DG!$D$2,)</f>
        <v>cái</v>
      </c>
      <c r="G1705" s="595">
        <f>G1704</f>
        <v>0</v>
      </c>
      <c r="H1705" s="355">
        <f t="shared" si="79"/>
        <v>0</v>
      </c>
      <c r="I1705" s="355">
        <f>H1705+J1705-K1705</f>
        <v>0</v>
      </c>
      <c r="J1705" s="355"/>
      <c r="K1705" s="355"/>
      <c r="L1705" s="367"/>
      <c r="M1705" s="332"/>
      <c r="N1705" s="340"/>
      <c r="O1705" s="341"/>
    </row>
    <row r="1706" spans="1:15" ht="16.2">
      <c r="A1706" s="288"/>
      <c r="B1706" s="444" t="s">
        <v>1334</v>
      </c>
      <c r="C1706" s="388" t="str">
        <f t="shared" si="78"/>
        <v xml:space="preserve"> </v>
      </c>
      <c r="D1706" s="338">
        <f>VLOOKUP($B1706,DG!A:D,DG!$B$2,)</f>
        <v>0</v>
      </c>
      <c r="E1706" s="358" t="str">
        <f>VLOOKUP($B1706,DG!A:D,DG!$C$2,)</f>
        <v>Bảng nhựa gắn tủ điện kế điện tử</v>
      </c>
      <c r="F1706" s="594" t="str">
        <f>VLOOKUP($B1706,DG!A:D,DG!$D$2,)</f>
        <v>cái</v>
      </c>
      <c r="G1706" s="595">
        <f>G1689*2</f>
        <v>0</v>
      </c>
      <c r="H1706" s="355">
        <f t="shared" si="79"/>
        <v>0</v>
      </c>
      <c r="I1706" s="355">
        <f>H1706+J1706-K1706</f>
        <v>0</v>
      </c>
      <c r="J1706" s="355"/>
      <c r="K1706" s="355"/>
      <c r="L1706" s="367"/>
      <c r="M1706" s="332"/>
      <c r="N1706" s="340"/>
      <c r="O1706" s="341"/>
    </row>
    <row r="1707" spans="1:15" ht="16.2">
      <c r="A1707" s="288"/>
      <c r="B1707" s="444" t="s">
        <v>1335</v>
      </c>
      <c r="C1707" s="388" t="str">
        <f t="shared" si="78"/>
        <v xml:space="preserve"> </v>
      </c>
      <c r="D1707" s="338" t="str">
        <f>VLOOKUP($B1707,DG!A:D,DG!$B$2,)</f>
        <v>05.1101</v>
      </c>
      <c r="E1707" s="358" t="str">
        <f>VLOOKUP($B1707,DG!A:D,DG!$C$2,)</f>
        <v>Thùng điện kế 450x300x200mm đo đếm trung thế</v>
      </c>
      <c r="F1707" s="594" t="str">
        <f>VLOOKUP($B1707,DG!A:D,DG!$D$2,)</f>
        <v>cái</v>
      </c>
      <c r="G1707" s="595">
        <f>G1689</f>
        <v>0</v>
      </c>
      <c r="H1707" s="355">
        <f t="shared" si="79"/>
        <v>0</v>
      </c>
      <c r="I1707" s="355">
        <f>H1707+J1707-K1707</f>
        <v>0</v>
      </c>
      <c r="J1707" s="355"/>
      <c r="K1707" s="355"/>
      <c r="L1707" s="367"/>
      <c r="M1707" s="332"/>
      <c r="N1707" s="340"/>
      <c r="O1707" s="341"/>
    </row>
    <row r="1708" spans="1:15" ht="16.2">
      <c r="A1708" s="288"/>
      <c r="B1708" s="444" t="s">
        <v>1336</v>
      </c>
      <c r="C1708" s="388" t="str">
        <f t="shared" si="78"/>
        <v xml:space="preserve"> </v>
      </c>
      <c r="D1708" s="338" t="str">
        <f>VLOOKUP($B1708,DG!A:D,DG!$B$2,)</f>
        <v>06.3231</v>
      </c>
      <c r="E1708" s="366" t="str">
        <f>VLOOKUP($B1708,DG!A:D,DG!$C$2,)</f>
        <v>Cổ dê CDĐKĐT( bắt thùng điện kế)</v>
      </c>
      <c r="F1708" s="594" t="str">
        <f>VLOOKUP($B1708,DG!A:D,DG!$D$2,)</f>
        <v>bộ</v>
      </c>
      <c r="G1708" s="595">
        <f>G1707*2</f>
        <v>0</v>
      </c>
      <c r="H1708" s="355">
        <f t="shared" si="79"/>
        <v>0</v>
      </c>
      <c r="I1708" s="355">
        <f>H1708+J1708-K1708</f>
        <v>0</v>
      </c>
      <c r="J1708" s="355"/>
      <c r="K1708" s="355"/>
      <c r="L1708" s="367"/>
      <c r="M1708" s="332"/>
      <c r="N1708" s="340"/>
      <c r="O1708" s="341"/>
    </row>
    <row r="1709" spans="1:15" ht="16.2">
      <c r="A1709" s="288"/>
      <c r="B1709" s="444" t="s">
        <v>1212</v>
      </c>
      <c r="C1709" s="388" t="str">
        <f t="shared" si="78"/>
        <v xml:space="preserve"> </v>
      </c>
      <c r="D1709" s="338">
        <f>VLOOKUP($B1709,DG!A:D,DG!$B$2,)</f>
        <v>0</v>
      </c>
      <c r="E1709" s="358" t="str">
        <f>VLOOKUP($B1709,DG!A:D,DG!$C$2,)</f>
        <v>Keo silicon bít miệng ống</v>
      </c>
      <c r="F1709" s="594" t="str">
        <f>VLOOKUP($B1709,DG!A:D,DG!$D$2,)</f>
        <v>ống</v>
      </c>
      <c r="G1709" s="595">
        <f>G1689*4</f>
        <v>0</v>
      </c>
      <c r="H1709" s="355">
        <f t="shared" si="79"/>
        <v>0</v>
      </c>
      <c r="I1709" s="355">
        <f>H1709+J1709-K1709</f>
        <v>0</v>
      </c>
      <c r="J1709" s="355"/>
      <c r="K1709" s="355"/>
      <c r="L1709" s="367"/>
      <c r="M1709" s="332"/>
      <c r="N1709" s="340"/>
      <c r="O1709" s="341"/>
    </row>
    <row r="1710" spans="1:15" ht="16.2">
      <c r="A1710" s="288"/>
      <c r="B1710" s="444" t="s">
        <v>1337</v>
      </c>
      <c r="C1710" s="388" t="str">
        <f t="shared" si="78"/>
        <v xml:space="preserve"> </v>
      </c>
      <c r="D1710" s="338">
        <f>VLOOKUP($B1710,DG!A:D,DG!$B$2,)</f>
        <v>0</v>
      </c>
      <c r="E1710" s="358" t="str">
        <f>VLOOKUP($B1710,DG!A:D,DG!$C$2,)</f>
        <v>Dây đồng trần mềm dẹt</v>
      </c>
      <c r="F1710" s="594" t="str">
        <f>VLOOKUP($B1710,DG!A:D,DG!$D$2,)</f>
        <v>mét</v>
      </c>
      <c r="G1710" s="595">
        <f>G1689*4</f>
        <v>0</v>
      </c>
      <c r="H1710" s="355">
        <f t="shared" si="79"/>
        <v>0</v>
      </c>
      <c r="I1710" s="355">
        <f>H1710+J1710-K1710</f>
        <v>0</v>
      </c>
      <c r="J1710" s="355"/>
      <c r="K1710" s="355"/>
      <c r="L1710" s="367"/>
      <c r="M1710" s="332"/>
      <c r="N1710" s="340"/>
      <c r="O1710" s="341"/>
    </row>
    <row r="1711" spans="1:15" ht="16.2">
      <c r="A1711" s="288"/>
      <c r="B1711" s="444" t="s">
        <v>1338</v>
      </c>
      <c r="C1711" s="388" t="str">
        <f t="shared" si="78"/>
        <v xml:space="preserve"> </v>
      </c>
      <c r="D1711" s="338">
        <f>VLOOKUP($B1711,DG!A:D,DG!$B$2,)</f>
        <v>0</v>
      </c>
      <c r="E1711" s="358" t="str">
        <f>VLOOKUP($B1711,DG!A:D,DG!$C$2,)</f>
        <v>Boulon 12x150</v>
      </c>
      <c r="F1711" s="594" t="str">
        <f>VLOOKUP($B1711,DG!A:D,DG!$D$2,)</f>
        <v>bộ</v>
      </c>
      <c r="G1711" s="595">
        <f>2*G1691</f>
        <v>0</v>
      </c>
      <c r="H1711" s="355">
        <f t="shared" si="79"/>
        <v>0</v>
      </c>
      <c r="I1711" s="355">
        <f>H1711+J1711-K1711</f>
        <v>0</v>
      </c>
      <c r="J1711" s="355"/>
      <c r="K1711" s="355"/>
      <c r="L1711" s="367"/>
      <c r="M1711" s="332"/>
      <c r="N1711" s="340"/>
      <c r="O1711" s="341"/>
    </row>
    <row r="1712" spans="1:15" ht="16.2">
      <c r="A1712" s="288"/>
      <c r="B1712" s="444" t="s">
        <v>1339</v>
      </c>
      <c r="C1712" s="388" t="str">
        <f t="shared" si="78"/>
        <v xml:space="preserve"> </v>
      </c>
      <c r="D1712" s="338">
        <f>VLOOKUP($B1712,DG!A:D,DG!$B$2,)</f>
        <v>0</v>
      </c>
      <c r="E1712" s="358" t="str">
        <f>VLOOKUP($B1712,DG!A:D,DG!$C$2,)&amp;" : 2 thanh daøi 0,5m"</f>
        <v>Sắt góc L50 x50 x5 : 2 thanh daøi 0,5m</v>
      </c>
      <c r="F1712" s="594" t="str">
        <f>VLOOKUP($B1712,DG!A:D,DG!$D$2,)</f>
        <v>kg</v>
      </c>
      <c r="G1712" s="595">
        <f>3.77*G1689*0</f>
        <v>0</v>
      </c>
      <c r="H1712" s="355">
        <f t="shared" si="79"/>
        <v>0</v>
      </c>
      <c r="I1712" s="355">
        <f>H1712+J1712-K1712</f>
        <v>0</v>
      </c>
      <c r="J1712" s="355"/>
      <c r="K1712" s="355"/>
      <c r="L1712" s="367"/>
      <c r="M1712" s="332"/>
      <c r="N1712" s="340"/>
      <c r="O1712" s="341"/>
    </row>
    <row r="1713" spans="1:15" ht="16.2">
      <c r="A1713" s="288"/>
      <c r="B1713" s="444" t="s">
        <v>1340</v>
      </c>
      <c r="C1713" s="388" t="str">
        <f t="shared" si="78"/>
        <v xml:space="preserve"> </v>
      </c>
      <c r="D1713" s="338">
        <f>VLOOKUP($B1713,DG!A:D,DG!$B$2,)</f>
        <v>0</v>
      </c>
      <c r="E1713" s="358" t="str">
        <f>VLOOKUP($B1713,DG!A:D,DG!$C$2,)</f>
        <v>Boulon 12x60</v>
      </c>
      <c r="F1713" s="594" t="str">
        <f>VLOOKUP($B1713,DG!A:D,DG!$D$2,)</f>
        <v>bộ</v>
      </c>
      <c r="G1713" s="595">
        <f>4*G1689*0</f>
        <v>0</v>
      </c>
      <c r="H1713" s="355">
        <f t="shared" si="79"/>
        <v>0</v>
      </c>
      <c r="I1713" s="355">
        <f>H1713+J1713-K1713</f>
        <v>0</v>
      </c>
      <c r="J1713" s="355"/>
      <c r="K1713" s="355"/>
      <c r="L1713" s="367"/>
      <c r="M1713" s="332"/>
      <c r="N1713" s="340"/>
      <c r="O1713" s="341"/>
    </row>
    <row r="1714" spans="1:15" ht="16.2">
      <c r="A1714" s="382" t="s">
        <v>1341</v>
      </c>
      <c r="B1714" s="343" t="s">
        <v>1341</v>
      </c>
      <c r="C1714" s="388" t="str">
        <f t="shared" si="78"/>
        <v xml:space="preserve"> </v>
      </c>
      <c r="D1714" s="347" t="s">
        <v>1290</v>
      </c>
      <c r="E1714" s="346" t="s">
        <v>1342</v>
      </c>
      <c r="F1714" s="593"/>
      <c r="G1714" s="349">
        <f>IF(SUM(G1715:G1717)=0,0,1)</f>
        <v>0</v>
      </c>
      <c r="H1714" s="349">
        <f>IFERROR(HLOOKUP(B1714,'BKT-ThuHoi'!$5:$183,179,0),0)</f>
        <v>0</v>
      </c>
      <c r="I1714" s="350"/>
      <c r="J1714" s="350"/>
      <c r="K1714" s="350"/>
      <c r="L1714" s="348"/>
      <c r="M1714" s="332"/>
      <c r="N1714" s="340"/>
      <c r="O1714" s="341"/>
    </row>
    <row r="1715" spans="1:15" ht="16.2">
      <c r="A1715" s="288"/>
      <c r="B1715" s="309" t="s">
        <v>2975</v>
      </c>
      <c r="C1715" s="388" t="str">
        <f t="shared" si="78"/>
        <v xml:space="preserve"> </v>
      </c>
      <c r="D1715" s="338" t="str">
        <f>VLOOKUP($B1715,DG!A:D,DG!$B$2,)</f>
        <v>02.3155</v>
      </c>
      <c r="E1715" s="358" t="str">
        <f>VLOOKUP($B1715,DG!A:D,DG!$C$2,)</f>
        <v>FCO 24kV - 100A</v>
      </c>
      <c r="F1715" s="594" t="str">
        <f>VLOOKUP($B1715,DG!A:D,DG!$D$2,)</f>
        <v>cái</v>
      </c>
      <c r="G1715" s="595">
        <f>[3]pp1p!CP90</f>
        <v>0</v>
      </c>
      <c r="H1715" s="355">
        <f>G1715</f>
        <v>0</v>
      </c>
      <c r="I1715" s="355">
        <f>H1715+J1715-K1715</f>
        <v>0</v>
      </c>
      <c r="J1715" s="355"/>
      <c r="K1715" s="355"/>
      <c r="L1715" s="367"/>
      <c r="M1715" s="332"/>
      <c r="N1715" s="340"/>
      <c r="O1715" s="341"/>
    </row>
    <row r="1716" spans="1:15" ht="16.2">
      <c r="A1716" s="288"/>
      <c r="B1716" s="309" t="s">
        <v>1343</v>
      </c>
      <c r="C1716" s="388" t="str">
        <f t="shared" si="78"/>
        <v xml:space="preserve"> </v>
      </c>
      <c r="D1716" s="338">
        <f>VLOOKUP($B1716,DG!A:D,DG!$B$2,)</f>
        <v>0</v>
      </c>
      <c r="E1716" s="358" t="str">
        <f>VLOOKUP($B1716,DG!A:D,DG!$C$2,)</f>
        <v>Dây chảy 8K</v>
      </c>
      <c r="F1716" s="594" t="str">
        <f>VLOOKUP($B1716,DG!A:D,DG!$D$2,)</f>
        <v>Sợi</v>
      </c>
      <c r="G1716" s="595"/>
      <c r="H1716" s="355">
        <f>G1716</f>
        <v>0</v>
      </c>
      <c r="I1716" s="355">
        <f>H1716+J1716-K1716</f>
        <v>0</v>
      </c>
      <c r="J1716" s="355"/>
      <c r="K1716" s="355"/>
      <c r="L1716" s="367"/>
      <c r="M1716" s="332"/>
      <c r="N1716" s="340"/>
      <c r="O1716" s="341"/>
    </row>
    <row r="1717" spans="1:15" ht="16.2">
      <c r="A1717" s="384"/>
      <c r="B1717" s="309" t="s">
        <v>1344</v>
      </c>
      <c r="C1717" s="388" t="str">
        <f t="shared" si="78"/>
        <v xml:space="preserve"> </v>
      </c>
      <c r="D1717" s="338">
        <f>VLOOKUP($B1717,DG!A:D,DG!$B$2,)</f>
        <v>0</v>
      </c>
      <c r="E1717" s="358" t="str">
        <f>VLOOKUP($B1717,DG!A:D,DG!$C$2,)</f>
        <v>Dây chảy 10K</v>
      </c>
      <c r="F1717" s="594" t="str">
        <f>VLOOKUP($B1717,DG!A:D,DG!$D$2,)</f>
        <v>Sợi</v>
      </c>
      <c r="G1717" s="595"/>
      <c r="H1717" s="355">
        <f>G1717</f>
        <v>0</v>
      </c>
      <c r="I1717" s="355">
        <f>H1717+J1717-K1717</f>
        <v>0</v>
      </c>
      <c r="J1717" s="355"/>
      <c r="K1717" s="355"/>
      <c r="L1717" s="367"/>
      <c r="M1717" s="332"/>
      <c r="N1717" s="340"/>
      <c r="O1717" s="341"/>
    </row>
    <row r="1718" spans="1:15" ht="16.2">
      <c r="A1718" s="342" t="s">
        <v>1345</v>
      </c>
      <c r="B1718" s="343" t="s">
        <v>1345</v>
      </c>
      <c r="C1718" s="388" t="str">
        <f t="shared" si="78"/>
        <v xml:space="preserve"> </v>
      </c>
      <c r="D1718" s="347" t="s">
        <v>443</v>
      </c>
      <c r="E1718" s="346" t="s">
        <v>1346</v>
      </c>
      <c r="F1718" s="593"/>
      <c r="G1718" s="349">
        <f>IF(SUM(G1719:G1722)=0,0,1)</f>
        <v>0</v>
      </c>
      <c r="H1718" s="349">
        <f>IFERROR(HLOOKUP(B1718,'BKT-ThuHoi'!$5:$183,179,0),0)</f>
        <v>0</v>
      </c>
      <c r="I1718" s="350"/>
      <c r="J1718" s="350"/>
      <c r="K1718" s="350"/>
      <c r="L1718" s="348"/>
      <c r="M1718" s="332"/>
      <c r="N1718" s="340"/>
      <c r="O1718" s="341"/>
    </row>
    <row r="1719" spans="1:15" ht="16.2">
      <c r="A1719" s="288"/>
      <c r="B1719" s="417" t="s">
        <v>1347</v>
      </c>
      <c r="C1719" s="388" t="str">
        <f t="shared" si="78"/>
        <v xml:space="preserve"> </v>
      </c>
      <c r="D1719" s="338" t="str">
        <f>VLOOKUP($B1719,DG!A:D,DG!$B$2,)</f>
        <v>05.5104</v>
      </c>
      <c r="E1719" s="358" t="str">
        <f>VLOOKUP($B1719,DG!A:D,DG!$C$2,)</f>
        <v>Điện năng kế 3 pha 380V-5A</v>
      </c>
      <c r="F1719" s="594" t="str">
        <f>VLOOKUP($B1719,DG!A:D,DG!$D$2,)</f>
        <v>cái</v>
      </c>
      <c r="G1719" s="595"/>
      <c r="H1719" s="355">
        <f>G1719</f>
        <v>0</v>
      </c>
      <c r="I1719" s="355">
        <f>H1719+J1719-K1719</f>
        <v>0</v>
      </c>
      <c r="J1719" s="355"/>
      <c r="K1719" s="355"/>
      <c r="L1719" s="367"/>
      <c r="M1719" s="332"/>
      <c r="N1719" s="340"/>
      <c r="O1719" s="341"/>
    </row>
    <row r="1720" spans="1:15" ht="16.2">
      <c r="A1720" s="288"/>
      <c r="B1720" s="417" t="s">
        <v>1348</v>
      </c>
      <c r="C1720" s="388" t="str">
        <f t="shared" si="78"/>
        <v xml:space="preserve"> </v>
      </c>
      <c r="D1720" s="338">
        <f>VLOOKUP($B1720,DG!A:D,DG!$B$2,)</f>
        <v>0</v>
      </c>
      <c r="E1720" s="358" t="str">
        <f>VLOOKUP($B1720,DG!A:D,DG!$C$2,)</f>
        <v>Biến dòng 600V - 100/5A</v>
      </c>
      <c r="F1720" s="594" t="str">
        <f>VLOOKUP($B1720,DG!A:D,DG!$D$2,)</f>
        <v>cái</v>
      </c>
      <c r="G1720" s="595"/>
      <c r="H1720" s="355">
        <f>G1720</f>
        <v>0</v>
      </c>
      <c r="I1720" s="355">
        <f>H1720+J1720-K1720</f>
        <v>0</v>
      </c>
      <c r="J1720" s="355"/>
      <c r="K1720" s="355"/>
      <c r="L1720" s="367"/>
      <c r="M1720" s="332"/>
      <c r="N1720" s="340"/>
      <c r="O1720" s="341"/>
    </row>
    <row r="1721" spans="1:15" ht="16.2">
      <c r="A1721" s="288"/>
      <c r="B1721" s="417" t="s">
        <v>1349</v>
      </c>
      <c r="C1721" s="388" t="str">
        <f t="shared" si="78"/>
        <v xml:space="preserve"> </v>
      </c>
      <c r="D1721" s="338" t="str">
        <f>VLOOKUP($B1721,DG!A:D,DG!$B$2,)</f>
        <v>02.8401</v>
      </c>
      <c r="E1721" s="358" t="str">
        <f>VLOOKUP($B1721,DG!A:D,DG!$C$2,)</f>
        <v>MCCB 3 cực 400V-100A - 30KA</v>
      </c>
      <c r="F1721" s="594" t="str">
        <f>VLOOKUP($B1721,DG!A:D,DG!$D$2,)</f>
        <v>cái</v>
      </c>
      <c r="G1721" s="595"/>
      <c r="H1721" s="355">
        <f>G1721</f>
        <v>0</v>
      </c>
      <c r="I1721" s="355">
        <f>H1721+J1721-K1721</f>
        <v>0</v>
      </c>
      <c r="J1721" s="355"/>
      <c r="K1721" s="355"/>
      <c r="L1721" s="367"/>
      <c r="M1721" s="332"/>
      <c r="N1721" s="340"/>
      <c r="O1721" s="341"/>
    </row>
    <row r="1722" spans="1:15" ht="16.2">
      <c r="A1722" s="288"/>
      <c r="B1722" s="417" t="s">
        <v>1350</v>
      </c>
      <c r="C1722" s="388" t="str">
        <f t="shared" si="78"/>
        <v xml:space="preserve"> </v>
      </c>
      <c r="D1722" s="338">
        <f>VLOOKUP($B1722,DG!A:D,DG!$B$2,)</f>
        <v>0</v>
      </c>
      <c r="E1722" s="358" t="str">
        <f>VLOOKUP($B1722,DG!A:D,DG!$C$2,)</f>
        <v>Contactor 3P-50A</v>
      </c>
      <c r="F1722" s="594" t="str">
        <f>VLOOKUP($B1722,DG!A:D,DG!$D$2,)</f>
        <v>cái</v>
      </c>
      <c r="G1722" s="595"/>
      <c r="H1722" s="355">
        <f>G1722</f>
        <v>0</v>
      </c>
      <c r="I1722" s="355">
        <f>H1722+J1722-K1722</f>
        <v>0</v>
      </c>
      <c r="J1722" s="355"/>
      <c r="K1722" s="355"/>
      <c r="L1722" s="367"/>
      <c r="M1722" s="332"/>
      <c r="N1722" s="340"/>
      <c r="O1722" s="341"/>
    </row>
    <row r="1723" spans="1:15" ht="16.2">
      <c r="A1723" s="342" t="s">
        <v>1351</v>
      </c>
      <c r="B1723" s="343" t="s">
        <v>1351</v>
      </c>
      <c r="C1723" s="388" t="str">
        <f t="shared" si="78"/>
        <v xml:space="preserve"> </v>
      </c>
      <c r="D1723" s="446" t="s">
        <v>1352</v>
      </c>
      <c r="E1723" s="447" t="s">
        <v>1353</v>
      </c>
      <c r="F1723" s="593"/>
      <c r="G1723" s="349"/>
      <c r="H1723" s="349">
        <f>IFERROR(HLOOKUP(B1723,'BKT-ThuHoi'!$5:$183,179,0),0)</f>
        <v>0</v>
      </c>
      <c r="I1723" s="350"/>
      <c r="J1723" s="350"/>
      <c r="K1723" s="350"/>
      <c r="L1723" s="348"/>
      <c r="M1723" s="332"/>
      <c r="N1723" s="340"/>
      <c r="O1723" s="341"/>
    </row>
    <row r="1724" spans="1:15" ht="16.2">
      <c r="A1724" s="342" t="s">
        <v>1354</v>
      </c>
      <c r="B1724" s="343" t="s">
        <v>1354</v>
      </c>
      <c r="C1724" s="388" t="str">
        <f t="shared" si="78"/>
        <v xml:space="preserve"> </v>
      </c>
      <c r="D1724" s="347"/>
      <c r="E1724" s="346" t="s">
        <v>1355</v>
      </c>
      <c r="F1724" s="593" t="s">
        <v>1356</v>
      </c>
      <c r="G1724" s="349"/>
      <c r="H1724" s="349">
        <f>IFERROR(HLOOKUP(B1724,'BKT-ThuHoi'!$5:$183,179,0),0)</f>
        <v>0</v>
      </c>
      <c r="I1724" s="350"/>
      <c r="J1724" s="350"/>
      <c r="K1724" s="350"/>
      <c r="L1724" s="348"/>
      <c r="M1724" s="332"/>
      <c r="N1724" s="340"/>
      <c r="O1724" s="341"/>
    </row>
    <row r="1725" spans="1:15" ht="16.2">
      <c r="A1725" s="361"/>
      <c r="B1725" s="419" t="s">
        <v>482</v>
      </c>
      <c r="C1725" s="388" t="str">
        <f>IF(G1725&lt;&gt;0,"x"," ")</f>
        <v xml:space="preserve"> </v>
      </c>
      <c r="D1725" s="363"/>
      <c r="E1725" s="358" t="str">
        <f>VLOOKUP($B1725,DG!A:D,DG!$C$2,)</f>
        <v>Sắt   Ø10</v>
      </c>
      <c r="F1725" s="594" t="str">
        <f>VLOOKUP($B1725,DG!A:D,DG!$D$2,)</f>
        <v>kg</v>
      </c>
      <c r="G1725" s="595"/>
      <c r="H1725" s="355">
        <f t="shared" ref="H1725:H1737" si="80">IF($H$1723&lt;&gt;0,G1725,)</f>
        <v>0</v>
      </c>
      <c r="I1725" s="355">
        <f>H1725+J1725-K1725</f>
        <v>0</v>
      </c>
      <c r="J1725" s="355"/>
      <c r="K1725" s="355"/>
      <c r="L1725" s="367"/>
      <c r="M1725" s="332"/>
      <c r="N1725" s="340"/>
      <c r="O1725" s="341"/>
    </row>
    <row r="1726" spans="1:15" ht="16.2">
      <c r="A1726" s="361"/>
      <c r="B1726" s="419" t="s">
        <v>1357</v>
      </c>
      <c r="C1726" s="388" t="str">
        <f t="shared" si="78"/>
        <v xml:space="preserve"> </v>
      </c>
      <c r="D1726" s="363"/>
      <c r="E1726" s="425" t="str">
        <f>VLOOKUP($B1726,DG!A:D,DG!$C$2,)</f>
        <v>Sắt   Ø12</v>
      </c>
      <c r="F1726" s="594" t="str">
        <f>VLOOKUP($B1726,DG!A:D,DG!$D$2,)</f>
        <v>kg</v>
      </c>
      <c r="G1726" s="595"/>
      <c r="H1726" s="355">
        <f t="shared" si="80"/>
        <v>0</v>
      </c>
      <c r="I1726" s="355">
        <f>H1726+J1726-K1726</f>
        <v>0</v>
      </c>
      <c r="J1726" s="355"/>
      <c r="K1726" s="355"/>
      <c r="L1726" s="367"/>
      <c r="M1726" s="332"/>
      <c r="N1726" s="340"/>
      <c r="O1726" s="341"/>
    </row>
    <row r="1727" spans="1:15" ht="16.2">
      <c r="A1727" s="361"/>
      <c r="B1727" s="419" t="s">
        <v>1358</v>
      </c>
      <c r="C1727" s="388" t="str">
        <f t="shared" si="78"/>
        <v xml:space="preserve"> </v>
      </c>
      <c r="D1727" s="363"/>
      <c r="E1727" s="358" t="str">
        <f>VLOOKUP($B1727,DG!A:D,DG!$C$2,)</f>
        <v>Thép tấm 6mm</v>
      </c>
      <c r="F1727" s="594" t="str">
        <f>VLOOKUP($B1727,DG!A:D,DG!$D$2,)</f>
        <v>kg</v>
      </c>
      <c r="G1727" s="595"/>
      <c r="H1727" s="355">
        <f t="shared" si="80"/>
        <v>0</v>
      </c>
      <c r="I1727" s="355">
        <f>H1727+J1727-K1727</f>
        <v>0</v>
      </c>
      <c r="J1727" s="355"/>
      <c r="K1727" s="355"/>
      <c r="L1727" s="367"/>
      <c r="M1727" s="332"/>
      <c r="N1727" s="340"/>
      <c r="O1727" s="341"/>
    </row>
    <row r="1728" spans="1:15" ht="16.2">
      <c r="A1728" s="361"/>
      <c r="B1728" s="419" t="s">
        <v>1359</v>
      </c>
      <c r="C1728" s="388" t="str">
        <f t="shared" si="78"/>
        <v xml:space="preserve"> </v>
      </c>
      <c r="D1728" s="363"/>
      <c r="E1728" s="358" t="str">
        <f>VLOOKUP($B1728,DG!A:D,DG!$C$2,)</f>
        <v>Boulon 12x50</v>
      </c>
      <c r="F1728" s="594" t="str">
        <f>VLOOKUP($B1728,DG!A:D,DG!$D$2,)</f>
        <v>bộ</v>
      </c>
      <c r="G1728" s="595"/>
      <c r="H1728" s="355">
        <f t="shared" si="80"/>
        <v>0</v>
      </c>
      <c r="I1728" s="355">
        <f>H1728+J1728-K1728</f>
        <v>0</v>
      </c>
      <c r="J1728" s="355"/>
      <c r="K1728" s="355"/>
      <c r="L1728" s="367"/>
      <c r="M1728" s="332"/>
      <c r="N1728" s="340"/>
      <c r="O1728" s="341"/>
    </row>
    <row r="1729" spans="1:15" ht="16.2">
      <c r="A1729" s="361"/>
      <c r="B1729" s="419" t="s">
        <v>1360</v>
      </c>
      <c r="C1729" s="388" t="str">
        <f t="shared" si="78"/>
        <v xml:space="preserve"> </v>
      </c>
      <c r="D1729" s="363"/>
      <c r="E1729" s="358" t="str">
        <f>VLOOKUP($B1729,DG!A:D,DG!$C$2,)</f>
        <v>Que hàn điện</v>
      </c>
      <c r="F1729" s="594" t="str">
        <f>VLOOKUP($B1729,DG!A:D,DG!$D$2,)</f>
        <v>kg</v>
      </c>
      <c r="G1729" s="595"/>
      <c r="H1729" s="355">
        <f t="shared" si="80"/>
        <v>0</v>
      </c>
      <c r="I1729" s="355">
        <f>H1729+J1729-K1729</f>
        <v>0</v>
      </c>
      <c r="J1729" s="355"/>
      <c r="K1729" s="355"/>
      <c r="L1729" s="367"/>
      <c r="M1729" s="332"/>
      <c r="N1729" s="340"/>
      <c r="O1729" s="341"/>
    </row>
    <row r="1730" spans="1:15" ht="16.2">
      <c r="A1730" s="361"/>
      <c r="B1730" s="419" t="s">
        <v>1361</v>
      </c>
      <c r="C1730" s="388" t="str">
        <f t="shared" si="78"/>
        <v xml:space="preserve"> </v>
      </c>
      <c r="D1730" s="363"/>
      <c r="E1730" s="358" t="str">
        <f>VLOOKUP($B1730,DG!A:D,DG!$C$2,)</f>
        <v>Sơn chống rỉ</v>
      </c>
      <c r="F1730" s="594" t="str">
        <f>VLOOKUP($B1730,DG!A:D,DG!$D$2,)</f>
        <v>kg</v>
      </c>
      <c r="G1730" s="595"/>
      <c r="H1730" s="355">
        <f t="shared" si="80"/>
        <v>0</v>
      </c>
      <c r="I1730" s="355">
        <f>H1730+J1730-K1730</f>
        <v>0</v>
      </c>
      <c r="J1730" s="355"/>
      <c r="K1730" s="355"/>
      <c r="L1730" s="367"/>
      <c r="M1730" s="332"/>
      <c r="N1730" s="340"/>
      <c r="O1730" s="341"/>
    </row>
    <row r="1731" spans="1:15" ht="16.2">
      <c r="A1731" s="361"/>
      <c r="B1731" s="419" t="s">
        <v>1362</v>
      </c>
      <c r="C1731" s="388" t="str">
        <f t="shared" si="78"/>
        <v xml:space="preserve"> </v>
      </c>
      <c r="D1731" s="363"/>
      <c r="E1731" s="358" t="str">
        <f>VLOOKUP($B1731,DG!A:D,DG!$C$2,)</f>
        <v>Sơn màu</v>
      </c>
      <c r="F1731" s="594" t="str">
        <f>VLOOKUP($B1731,DG!A:D,DG!$D$2,)</f>
        <v>kg</v>
      </c>
      <c r="G1731" s="595"/>
      <c r="H1731" s="355">
        <f t="shared" si="80"/>
        <v>0</v>
      </c>
      <c r="I1731" s="355">
        <f>H1731+J1731-K1731</f>
        <v>0</v>
      </c>
      <c r="J1731" s="355"/>
      <c r="K1731" s="355"/>
      <c r="L1731" s="367"/>
      <c r="M1731" s="332"/>
      <c r="N1731" s="340"/>
      <c r="O1731" s="341"/>
    </row>
    <row r="1732" spans="1:15" ht="16.2">
      <c r="A1732" s="361"/>
      <c r="B1732" s="419" t="s">
        <v>1363</v>
      </c>
      <c r="C1732" s="388" t="str">
        <f t="shared" ref="C1732:C1771" si="81">IF(G1732&lt;&gt;0,"x"," ")</f>
        <v xml:space="preserve"> </v>
      </c>
      <c r="D1732" s="363"/>
      <c r="E1732" s="358" t="str">
        <f>VLOOKUP($B1732,DG!A:D,DG!$C$2,)</f>
        <v>Ô xy gió</v>
      </c>
      <c r="F1732" s="594" t="str">
        <f>VLOOKUP($B1732,DG!A:D,DG!$D$2,)</f>
        <v>m3</v>
      </c>
      <c r="G1732" s="595"/>
      <c r="H1732" s="355">
        <f t="shared" si="80"/>
        <v>0</v>
      </c>
      <c r="I1732" s="355">
        <f>H1732+J1732-K1732</f>
        <v>0</v>
      </c>
      <c r="J1732" s="355"/>
      <c r="K1732" s="355"/>
      <c r="L1732" s="367"/>
      <c r="M1732" s="332"/>
      <c r="N1732" s="340"/>
      <c r="O1732" s="341"/>
    </row>
    <row r="1733" spans="1:15" ht="16.2">
      <c r="A1733" s="361"/>
      <c r="B1733" s="419" t="s">
        <v>1364</v>
      </c>
      <c r="C1733" s="388" t="str">
        <f t="shared" si="81"/>
        <v xml:space="preserve"> </v>
      </c>
      <c r="D1733" s="363"/>
      <c r="E1733" s="358" t="str">
        <f>VLOOKUP($B1733,DG!A:D,DG!$C$2,)</f>
        <v>Hơi Axetylen</v>
      </c>
      <c r="F1733" s="594" t="str">
        <f>VLOOKUP($B1733,DG!A:D,DG!$D$2,)</f>
        <v>m3</v>
      </c>
      <c r="G1733" s="595"/>
      <c r="H1733" s="355">
        <f t="shared" si="80"/>
        <v>0</v>
      </c>
      <c r="I1733" s="355">
        <f>H1733+J1733-K1733</f>
        <v>0</v>
      </c>
      <c r="J1733" s="355"/>
      <c r="K1733" s="355"/>
      <c r="L1733" s="367"/>
      <c r="M1733" s="332"/>
      <c r="N1733" s="340"/>
      <c r="O1733" s="341"/>
    </row>
    <row r="1734" spans="1:15" ht="16.2">
      <c r="A1734" s="361"/>
      <c r="B1734" s="419" t="s">
        <v>1365</v>
      </c>
      <c r="C1734" s="388" t="str">
        <f t="shared" si="81"/>
        <v xml:space="preserve"> </v>
      </c>
      <c r="D1734" s="363"/>
      <c r="E1734" s="358" t="str">
        <f>VLOOKUP($B1734,DG!A:D,DG!$C$2,)</f>
        <v>Cọ sơn</v>
      </c>
      <c r="F1734" s="594" t="str">
        <f>VLOOKUP($B1734,DG!A:D,DG!$D$2,)</f>
        <v>cái</v>
      </c>
      <c r="G1734" s="595"/>
      <c r="H1734" s="355">
        <f t="shared" si="80"/>
        <v>0</v>
      </c>
      <c r="I1734" s="355">
        <f>H1734+J1734-K1734</f>
        <v>0</v>
      </c>
      <c r="J1734" s="355"/>
      <c r="K1734" s="355"/>
      <c r="L1734" s="367"/>
      <c r="M1734" s="332"/>
      <c r="N1734" s="340"/>
      <c r="O1734" s="341"/>
    </row>
    <row r="1735" spans="1:15" ht="16.2">
      <c r="A1735" s="361"/>
      <c r="B1735" s="419" t="s">
        <v>1366</v>
      </c>
      <c r="C1735" s="388" t="str">
        <f t="shared" si="81"/>
        <v xml:space="preserve"> </v>
      </c>
      <c r="D1735" s="338" t="str">
        <f>VLOOKUP($B1735,DG!A:D,DG!$B$2,)</f>
        <v>NB.1110</v>
      </c>
      <c r="E1735" s="366" t="str">
        <f>VLOOKUP($B1735,DG!A:D,DG!$C$2,)</f>
        <v>Gia công và lắp dựng cột báo hiệu cao 9m</v>
      </c>
      <c r="F1735" s="594" t="str">
        <f>VLOOKUP($B1735,DG!A:D,DG!$D$2,)</f>
        <v>Tấn</v>
      </c>
      <c r="G1735" s="595"/>
      <c r="H1735" s="355">
        <f t="shared" si="80"/>
        <v>0</v>
      </c>
      <c r="I1735" s="355">
        <f>H1735+J1735-K1735</f>
        <v>0</v>
      </c>
      <c r="J1735" s="355"/>
      <c r="K1735" s="355"/>
      <c r="L1735" s="367"/>
      <c r="M1735" s="332"/>
      <c r="N1735" s="340"/>
      <c r="O1735" s="341"/>
    </row>
    <row r="1736" spans="1:15" ht="16.2">
      <c r="A1736" s="361"/>
      <c r="B1736" s="419" t="s">
        <v>1367</v>
      </c>
      <c r="C1736" s="388" t="str">
        <f t="shared" si="81"/>
        <v xml:space="preserve"> </v>
      </c>
      <c r="D1736" s="338" t="str">
        <f>VLOOKUP($B1736,DG!A:D,DG!$B$2,)</f>
        <v>S2.118</v>
      </c>
      <c r="E1736" s="358" t="str">
        <f>VLOOKUP($B1736,DG!A:D,DG!$C$2,)</f>
        <v>Sơn cột báo hiệu</v>
      </c>
      <c r="F1736" s="594" t="str">
        <f>VLOOKUP($B1736,DG!A:D,DG!$D$2,)</f>
        <v>m2</v>
      </c>
      <c r="G1736" s="595"/>
      <c r="H1736" s="355">
        <f t="shared" si="80"/>
        <v>0</v>
      </c>
      <c r="I1736" s="355">
        <f>H1736+J1736-K1736</f>
        <v>0</v>
      </c>
      <c r="J1736" s="355"/>
      <c r="K1736" s="355"/>
      <c r="L1736" s="367"/>
      <c r="M1736" s="332"/>
      <c r="N1736" s="340"/>
      <c r="O1736" s="341"/>
    </row>
    <row r="1737" spans="1:15" ht="16.2">
      <c r="A1737" s="361"/>
      <c r="B1737" s="419" t="s">
        <v>1368</v>
      </c>
      <c r="C1737" s="388" t="str">
        <f t="shared" si="81"/>
        <v xml:space="preserve"> </v>
      </c>
      <c r="D1737" s="338" t="str">
        <f>VLOOKUP($B1737,DG!A:D,DG!$B$2,)</f>
        <v>021351</v>
      </c>
      <c r="E1737" s="358" t="str">
        <f>VLOOKUP($B1737,DG!A:D,DG!$C$2,)</f>
        <v>Vận Chuyển thép</v>
      </c>
      <c r="F1737" s="594" t="str">
        <f>VLOOKUP($B1737,DG!A:D,DG!$D$2,)</f>
        <v>Tấn</v>
      </c>
      <c r="G1737" s="595"/>
      <c r="H1737" s="355">
        <f t="shared" si="80"/>
        <v>0</v>
      </c>
      <c r="I1737" s="355">
        <f>H1737+J1737-K1737</f>
        <v>0</v>
      </c>
      <c r="J1737" s="355"/>
      <c r="K1737" s="355"/>
      <c r="L1737" s="367"/>
      <c r="M1737" s="332"/>
      <c r="N1737" s="340"/>
      <c r="O1737" s="341"/>
    </row>
    <row r="1738" spans="1:15" ht="16.2">
      <c r="A1738" s="342" t="s">
        <v>1369</v>
      </c>
      <c r="B1738" s="343" t="s">
        <v>1369</v>
      </c>
      <c r="C1738" s="388" t="str">
        <f t="shared" si="81"/>
        <v xml:space="preserve"> </v>
      </c>
      <c r="D1738" s="347"/>
      <c r="E1738" s="346" t="s">
        <v>1370</v>
      </c>
      <c r="F1738" s="593" t="s">
        <v>1371</v>
      </c>
      <c r="G1738" s="349"/>
      <c r="H1738" s="349">
        <f>IFERROR(HLOOKUP(B1738,'BKT-ThuHoi'!$5:$183,179,0),0)</f>
        <v>0</v>
      </c>
      <c r="I1738" s="350"/>
      <c r="J1738" s="350"/>
      <c r="K1738" s="350"/>
      <c r="L1738" s="348"/>
      <c r="M1738" s="332"/>
      <c r="N1738" s="340"/>
      <c r="O1738" s="341"/>
    </row>
    <row r="1739" spans="1:15" ht="16.2">
      <c r="A1739" s="361"/>
      <c r="B1739" s="419" t="s">
        <v>1372</v>
      </c>
      <c r="C1739" s="388" t="str">
        <f t="shared" si="81"/>
        <v xml:space="preserve"> </v>
      </c>
      <c r="D1739" s="363"/>
      <c r="E1739" s="358" t="str">
        <f>VLOOKUP($B1739,DG!A:D,DG!$C$2,)</f>
        <v>Sắt góc L45 x45 x 4</v>
      </c>
      <c r="F1739" s="594" t="str">
        <f>VLOOKUP($B1739,DG!A:D,DG!$D$2,)</f>
        <v>kg</v>
      </c>
      <c r="G1739" s="595"/>
      <c r="H1739" s="355">
        <f>IF($H$1723&lt;&gt;0,G1739,)</f>
        <v>0</v>
      </c>
      <c r="I1739" s="355">
        <f>H1739+J1739-K1739</f>
        <v>0</v>
      </c>
      <c r="J1739" s="355"/>
      <c r="K1739" s="355"/>
      <c r="L1739" s="367"/>
      <c r="M1739" s="332"/>
      <c r="N1739" s="340"/>
      <c r="O1739" s="341"/>
    </row>
    <row r="1740" spans="1:15" ht="16.2">
      <c r="A1740" s="361"/>
      <c r="B1740" s="419" t="s">
        <v>1373</v>
      </c>
      <c r="C1740" s="388" t="str">
        <f t="shared" si="81"/>
        <v xml:space="preserve"> </v>
      </c>
      <c r="D1740" s="363"/>
      <c r="E1740" s="358" t="str">
        <f>VLOOKUP($B1740,DG!A:D,DG!$C$2,)</f>
        <v>Thép tấm 4mm</v>
      </c>
      <c r="F1740" s="594" t="str">
        <f>VLOOKUP($B1740,DG!A:D,DG!$D$2,)</f>
        <v>kg</v>
      </c>
      <c r="G1740" s="595"/>
      <c r="H1740" s="355">
        <f t="shared" ref="H1740:H1751" si="82">IF($H$1723&lt;&gt;0,G1740,)</f>
        <v>0</v>
      </c>
      <c r="I1740" s="355">
        <f>H1740+J1740-K1740</f>
        <v>0</v>
      </c>
      <c r="J1740" s="355"/>
      <c r="K1740" s="355"/>
      <c r="L1740" s="367"/>
      <c r="M1740" s="332"/>
      <c r="N1740" s="340"/>
      <c r="O1740" s="341"/>
    </row>
    <row r="1741" spans="1:15" ht="16.2">
      <c r="A1741" s="361"/>
      <c r="B1741" s="419" t="s">
        <v>1374</v>
      </c>
      <c r="C1741" s="388" t="str">
        <f t="shared" si="81"/>
        <v xml:space="preserve"> </v>
      </c>
      <c r="D1741" s="363"/>
      <c r="E1741" s="358" t="str">
        <f>VLOOKUP($B1741,DG!A:D,DG!$C$2,)</f>
        <v>Thép tấm 2mm</v>
      </c>
      <c r="F1741" s="594" t="str">
        <f>VLOOKUP($B1741,DG!A:D,DG!$D$2,)</f>
        <v>kg</v>
      </c>
      <c r="G1741" s="595"/>
      <c r="H1741" s="355">
        <f t="shared" si="82"/>
        <v>0</v>
      </c>
      <c r="I1741" s="355">
        <f>H1741+J1741-K1741</f>
        <v>0</v>
      </c>
      <c r="J1741" s="355"/>
      <c r="K1741" s="355"/>
      <c r="L1741" s="367"/>
      <c r="M1741" s="332"/>
      <c r="N1741" s="340"/>
      <c r="O1741" s="341"/>
    </row>
    <row r="1742" spans="1:15" ht="16.2">
      <c r="A1742" s="361"/>
      <c r="B1742" s="419" t="s">
        <v>1359</v>
      </c>
      <c r="C1742" s="388" t="str">
        <f t="shared" si="81"/>
        <v xml:space="preserve"> </v>
      </c>
      <c r="D1742" s="363"/>
      <c r="E1742" s="358" t="str">
        <f>VLOOKUP($B1742,DG!A:D,DG!$C$2,)</f>
        <v>Boulon 12x50</v>
      </c>
      <c r="F1742" s="594" t="str">
        <f>VLOOKUP($B1742,DG!A:D,DG!$D$2,)</f>
        <v>bộ</v>
      </c>
      <c r="G1742" s="595"/>
      <c r="H1742" s="355">
        <f t="shared" si="82"/>
        <v>0</v>
      </c>
      <c r="I1742" s="355">
        <f>H1742+J1742-K1742</f>
        <v>0</v>
      </c>
      <c r="J1742" s="355"/>
      <c r="K1742" s="355"/>
      <c r="L1742" s="367"/>
      <c r="M1742" s="332"/>
      <c r="N1742" s="340"/>
      <c r="O1742" s="341"/>
    </row>
    <row r="1743" spans="1:15" ht="16.2">
      <c r="A1743" s="361"/>
      <c r="B1743" s="419" t="s">
        <v>1360</v>
      </c>
      <c r="C1743" s="388" t="str">
        <f t="shared" si="81"/>
        <v xml:space="preserve"> </v>
      </c>
      <c r="D1743" s="363"/>
      <c r="E1743" s="358" t="str">
        <f>VLOOKUP($B1743,DG!A:D,DG!$C$2,)</f>
        <v>Que hàn điện</v>
      </c>
      <c r="F1743" s="594" t="str">
        <f>VLOOKUP($B1743,DG!A:D,DG!$D$2,)</f>
        <v>kg</v>
      </c>
      <c r="G1743" s="595"/>
      <c r="H1743" s="355">
        <f t="shared" si="82"/>
        <v>0</v>
      </c>
      <c r="I1743" s="355">
        <f>H1743+J1743-K1743</f>
        <v>0</v>
      </c>
      <c r="J1743" s="355"/>
      <c r="K1743" s="355"/>
      <c r="L1743" s="367"/>
      <c r="M1743" s="332"/>
      <c r="N1743" s="340"/>
      <c r="O1743" s="341"/>
    </row>
    <row r="1744" spans="1:15" ht="16.2">
      <c r="A1744" s="361"/>
      <c r="B1744" s="419" t="s">
        <v>1361</v>
      </c>
      <c r="C1744" s="388" t="str">
        <f t="shared" si="81"/>
        <v xml:space="preserve"> </v>
      </c>
      <c r="D1744" s="363"/>
      <c r="E1744" s="358" t="str">
        <f>VLOOKUP($B1744,DG!A:D,DG!$C$2,)</f>
        <v>Sơn chống rỉ</v>
      </c>
      <c r="F1744" s="594" t="str">
        <f>VLOOKUP($B1744,DG!A:D,DG!$D$2,)</f>
        <v>kg</v>
      </c>
      <c r="G1744" s="595"/>
      <c r="H1744" s="355">
        <f t="shared" si="82"/>
        <v>0</v>
      </c>
      <c r="I1744" s="355">
        <f>H1744+J1744-K1744</f>
        <v>0</v>
      </c>
      <c r="J1744" s="355"/>
      <c r="K1744" s="355"/>
      <c r="L1744" s="367"/>
      <c r="M1744" s="332"/>
      <c r="N1744" s="340"/>
      <c r="O1744" s="341"/>
    </row>
    <row r="1745" spans="1:15" ht="16.2">
      <c r="A1745" s="361"/>
      <c r="B1745" s="419" t="s">
        <v>1362</v>
      </c>
      <c r="C1745" s="388" t="str">
        <f t="shared" si="81"/>
        <v xml:space="preserve"> </v>
      </c>
      <c r="D1745" s="363"/>
      <c r="E1745" s="358" t="str">
        <f>VLOOKUP($B1745,DG!A:D,DG!$C$2,)</f>
        <v>Sơn màu</v>
      </c>
      <c r="F1745" s="594" t="str">
        <f>VLOOKUP($B1745,DG!A:D,DG!$D$2,)</f>
        <v>kg</v>
      </c>
      <c r="G1745" s="595"/>
      <c r="H1745" s="355">
        <f t="shared" si="82"/>
        <v>0</v>
      </c>
      <c r="I1745" s="355">
        <f>H1745+J1745-K1745</f>
        <v>0</v>
      </c>
      <c r="J1745" s="355"/>
      <c r="K1745" s="355"/>
      <c r="L1745" s="367"/>
      <c r="M1745" s="332"/>
      <c r="N1745" s="340"/>
      <c r="O1745" s="341"/>
    </row>
    <row r="1746" spans="1:15" ht="16.2">
      <c r="A1746" s="361"/>
      <c r="B1746" s="419" t="s">
        <v>1363</v>
      </c>
      <c r="C1746" s="388" t="str">
        <f t="shared" si="81"/>
        <v xml:space="preserve"> </v>
      </c>
      <c r="D1746" s="363"/>
      <c r="E1746" s="358" t="str">
        <f>VLOOKUP($B1746,DG!A:D,DG!$C$2,)</f>
        <v>Ô xy gió</v>
      </c>
      <c r="F1746" s="594" t="str">
        <f>VLOOKUP($B1746,DG!A:D,DG!$D$2,)</f>
        <v>m3</v>
      </c>
      <c r="G1746" s="595"/>
      <c r="H1746" s="355">
        <f t="shared" si="82"/>
        <v>0</v>
      </c>
      <c r="I1746" s="355">
        <f>H1746+J1746-K1746</f>
        <v>0</v>
      </c>
      <c r="J1746" s="355"/>
      <c r="K1746" s="355"/>
      <c r="L1746" s="367"/>
      <c r="M1746" s="332"/>
      <c r="N1746" s="340"/>
      <c r="O1746" s="341"/>
    </row>
    <row r="1747" spans="1:15" ht="16.2">
      <c r="A1747" s="361"/>
      <c r="B1747" s="419" t="s">
        <v>1364</v>
      </c>
      <c r="C1747" s="388" t="str">
        <f t="shared" si="81"/>
        <v xml:space="preserve"> </v>
      </c>
      <c r="D1747" s="363"/>
      <c r="E1747" s="358" t="str">
        <f>VLOOKUP($B1747,DG!A:D,DG!$C$2,)</f>
        <v>Hơi Axetylen</v>
      </c>
      <c r="F1747" s="594" t="str">
        <f>VLOOKUP($B1747,DG!A:D,DG!$D$2,)</f>
        <v>m3</v>
      </c>
      <c r="G1747" s="595"/>
      <c r="H1747" s="355">
        <f t="shared" si="82"/>
        <v>0</v>
      </c>
      <c r="I1747" s="355">
        <f>H1747+J1747-K1747</f>
        <v>0</v>
      </c>
      <c r="J1747" s="355"/>
      <c r="K1747" s="355"/>
      <c r="L1747" s="367"/>
      <c r="M1747" s="332"/>
      <c r="N1747" s="340"/>
      <c r="O1747" s="341"/>
    </row>
    <row r="1748" spans="1:15" ht="16.2">
      <c r="A1748" s="361"/>
      <c r="B1748" s="419" t="s">
        <v>1365</v>
      </c>
      <c r="C1748" s="388" t="str">
        <f t="shared" si="81"/>
        <v xml:space="preserve"> </v>
      </c>
      <c r="D1748" s="363"/>
      <c r="E1748" s="358" t="str">
        <f>VLOOKUP($B1748,DG!A:D,DG!$C$2,)</f>
        <v>Cọ sơn</v>
      </c>
      <c r="F1748" s="594" t="str">
        <f>VLOOKUP($B1748,DG!A:D,DG!$D$2,)</f>
        <v>cái</v>
      </c>
      <c r="G1748" s="595"/>
      <c r="H1748" s="355">
        <f t="shared" si="82"/>
        <v>0</v>
      </c>
      <c r="I1748" s="355">
        <f>H1748+J1748-K1748</f>
        <v>0</v>
      </c>
      <c r="J1748" s="355"/>
      <c r="K1748" s="355"/>
      <c r="L1748" s="367"/>
      <c r="M1748" s="332"/>
      <c r="N1748" s="340"/>
      <c r="O1748" s="341"/>
    </row>
    <row r="1749" spans="1:15" ht="16.2">
      <c r="A1749" s="361"/>
      <c r="B1749" s="419" t="s">
        <v>1375</v>
      </c>
      <c r="C1749" s="388" t="str">
        <f t="shared" si="81"/>
        <v xml:space="preserve"> </v>
      </c>
      <c r="D1749" s="338" t="str">
        <f>VLOOKUP($B1749,DG!A:D,DG!$B$2,)</f>
        <v>NB.1710</v>
      </c>
      <c r="E1749" s="366" t="str">
        <f>VLOOKUP($B1749,DG!A:D,DG!$C$2,)</f>
        <v>Gia công và lắp dựng bảng báo hiệu</v>
      </c>
      <c r="F1749" s="594" t="str">
        <f>VLOOKUP($B1749,DG!A:D,DG!$D$2,)</f>
        <v>Tấn</v>
      </c>
      <c r="G1749" s="595"/>
      <c r="H1749" s="355">
        <f t="shared" si="82"/>
        <v>0</v>
      </c>
      <c r="I1749" s="355">
        <f>H1749+J1749-K1749</f>
        <v>0</v>
      </c>
      <c r="J1749" s="355"/>
      <c r="K1749" s="355"/>
      <c r="L1749" s="367"/>
      <c r="M1749" s="332"/>
      <c r="N1749" s="340"/>
      <c r="O1749" s="341"/>
    </row>
    <row r="1750" spans="1:15" ht="16.2">
      <c r="A1750" s="361"/>
      <c r="B1750" s="419" t="s">
        <v>1376</v>
      </c>
      <c r="C1750" s="388" t="str">
        <f t="shared" si="81"/>
        <v xml:space="preserve"> </v>
      </c>
      <c r="D1750" s="338" t="str">
        <f>VLOOKUP($B1750,DG!A:D,DG!$B$2,)</f>
        <v>S2.118</v>
      </c>
      <c r="E1750" s="358" t="str">
        <f>VLOOKUP($B1750,DG!A:D,DG!$C$2,)</f>
        <v>Sơn biển báo hiệu</v>
      </c>
      <c r="F1750" s="594" t="str">
        <f>VLOOKUP($B1750,DG!A:D,DG!$D$2,)</f>
        <v>m2</v>
      </c>
      <c r="G1750" s="595"/>
      <c r="H1750" s="355">
        <f t="shared" si="82"/>
        <v>0</v>
      </c>
      <c r="I1750" s="355">
        <f>H1750+J1750-K1750</f>
        <v>0</v>
      </c>
      <c r="J1750" s="355"/>
      <c r="K1750" s="355"/>
      <c r="L1750" s="367"/>
      <c r="M1750" s="332"/>
      <c r="N1750" s="340"/>
      <c r="O1750" s="341"/>
    </row>
    <row r="1751" spans="1:15" ht="16.2">
      <c r="A1751" s="361"/>
      <c r="B1751" s="419" t="s">
        <v>1368</v>
      </c>
      <c r="C1751" s="388" t="str">
        <f t="shared" si="81"/>
        <v xml:space="preserve"> </v>
      </c>
      <c r="D1751" s="338" t="str">
        <f>VLOOKUP($B1751,DG!A:D,DG!$B$2,)</f>
        <v>021351</v>
      </c>
      <c r="E1751" s="358" t="str">
        <f>VLOOKUP($B1751,DG!A:D,DG!$C$2,)</f>
        <v>Vận Chuyển thép</v>
      </c>
      <c r="F1751" s="594" t="str">
        <f>VLOOKUP($B1751,DG!A:D,DG!$D$2,)</f>
        <v>Tấn</v>
      </c>
      <c r="G1751" s="595"/>
      <c r="H1751" s="355">
        <f t="shared" si="82"/>
        <v>0</v>
      </c>
      <c r="I1751" s="355">
        <f>H1751+J1751-K1751</f>
        <v>0</v>
      </c>
      <c r="J1751" s="355"/>
      <c r="K1751" s="355"/>
      <c r="L1751" s="367"/>
      <c r="M1751" s="332"/>
      <c r="N1751" s="340"/>
      <c r="O1751" s="341"/>
    </row>
    <row r="1752" spans="1:15" ht="16.2">
      <c r="A1752" s="342" t="s">
        <v>1377</v>
      </c>
      <c r="B1752" s="343" t="s">
        <v>1377</v>
      </c>
      <c r="C1752" s="388" t="str">
        <f t="shared" si="81"/>
        <v xml:space="preserve"> </v>
      </c>
      <c r="D1752" s="347"/>
      <c r="E1752" s="346" t="s">
        <v>1378</v>
      </c>
      <c r="F1752" s="593" t="s">
        <v>446</v>
      </c>
      <c r="G1752" s="349"/>
      <c r="H1752" s="349">
        <f>IFERROR(HLOOKUP(B1752,'BKT-ThuHoi'!$5:$183,179,0),0)</f>
        <v>0</v>
      </c>
      <c r="I1752" s="350"/>
      <c r="J1752" s="350"/>
      <c r="K1752" s="350"/>
      <c r="L1752" s="348"/>
      <c r="M1752" s="332"/>
      <c r="N1752" s="340"/>
      <c r="O1752" s="341"/>
    </row>
    <row r="1753" spans="1:15" ht="16.2">
      <c r="A1753" s="361"/>
      <c r="B1753" s="419" t="s">
        <v>465</v>
      </c>
      <c r="C1753" s="388" t="str">
        <f t="shared" si="81"/>
        <v xml:space="preserve"> </v>
      </c>
      <c r="D1753" s="363"/>
      <c r="E1753" s="366" t="str">
        <f>VLOOKUP($B1753,DG!A:D,DG!$C$2,)</f>
        <v xml:space="preserve">Ximăng </v>
      </c>
      <c r="F1753" s="338" t="str">
        <f>VLOOKUP($B1753,DG!A:D,DG!$D$2,)</f>
        <v>kg</v>
      </c>
      <c r="G1753" s="448"/>
      <c r="H1753" s="355">
        <f>IF($H$1723&lt;&gt;0,G1753,)</f>
        <v>0</v>
      </c>
      <c r="I1753" s="426">
        <f>H1753+J1753-K1753</f>
        <v>0</v>
      </c>
      <c r="J1753" s="355"/>
      <c r="K1753" s="355"/>
      <c r="L1753" s="355"/>
      <c r="M1753" s="332"/>
      <c r="N1753" s="340"/>
      <c r="O1753" s="341"/>
    </row>
    <row r="1754" spans="1:15" ht="16.2">
      <c r="A1754" s="361"/>
      <c r="B1754" s="368" t="s">
        <v>466</v>
      </c>
      <c r="C1754" s="388" t="str">
        <f t="shared" si="81"/>
        <v xml:space="preserve"> </v>
      </c>
      <c r="D1754" s="363"/>
      <c r="E1754" s="366" t="str">
        <f>VLOOKUP($B1754,DG!A:D,DG!$C$2,)</f>
        <v>Cát vàng</v>
      </c>
      <c r="F1754" s="338" t="str">
        <f>VLOOKUP($B1754,DG!A:D,DG!$D$2,)</f>
        <v>m3</v>
      </c>
      <c r="G1754" s="448"/>
      <c r="H1754" s="355">
        <f t="shared" ref="H1754:H1763" si="83">IF($H$1723&lt;&gt;0,G1754,)</f>
        <v>0</v>
      </c>
      <c r="I1754" s="426">
        <f>H1754+J1754-K1754</f>
        <v>0</v>
      </c>
      <c r="J1754" s="355"/>
      <c r="K1754" s="355"/>
      <c r="L1754" s="355"/>
      <c r="M1754" s="332"/>
      <c r="N1754" s="340"/>
      <c r="O1754" s="341"/>
    </row>
    <row r="1755" spans="1:15" ht="16.2">
      <c r="A1755" s="361"/>
      <c r="B1755" s="419" t="s">
        <v>1379</v>
      </c>
      <c r="C1755" s="388" t="str">
        <f t="shared" si="81"/>
        <v xml:space="preserve"> </v>
      </c>
      <c r="D1755" s="363"/>
      <c r="E1755" s="366" t="str">
        <f>VLOOKUP($B1755,DG!A:D,DG!$C$2,)</f>
        <v>Đá 1x2</v>
      </c>
      <c r="F1755" s="338" t="str">
        <f>VLOOKUP($B1755,DG!A:D,DG!$D$2,)</f>
        <v>m3</v>
      </c>
      <c r="G1755" s="448"/>
      <c r="H1755" s="355">
        <f t="shared" si="83"/>
        <v>0</v>
      </c>
      <c r="I1755" s="426">
        <f>H1755+J1755-K1755</f>
        <v>0</v>
      </c>
      <c r="J1755" s="355"/>
      <c r="K1755" s="355"/>
      <c r="L1755" s="355"/>
      <c r="M1755" s="332"/>
      <c r="N1755" s="340"/>
      <c r="O1755" s="341"/>
    </row>
    <row r="1756" spans="1:15" ht="16.2">
      <c r="A1756" s="361"/>
      <c r="B1756" s="419" t="s">
        <v>1380</v>
      </c>
      <c r="C1756" s="388" t="str">
        <f t="shared" si="81"/>
        <v xml:space="preserve"> </v>
      </c>
      <c r="D1756" s="363"/>
      <c r="E1756" s="366" t="str">
        <f>VLOOKUP($B1756,DG!A:D,DG!$C$2,)</f>
        <v>Đá 4x6</v>
      </c>
      <c r="F1756" s="338" t="str">
        <f>VLOOKUP($B1756,DG!A:D,DG!$D$2,)</f>
        <v>m3</v>
      </c>
      <c r="G1756" s="448"/>
      <c r="H1756" s="355">
        <f t="shared" si="83"/>
        <v>0</v>
      </c>
      <c r="I1756" s="426">
        <f>H1756+J1756-K1756</f>
        <v>0</v>
      </c>
      <c r="J1756" s="355"/>
      <c r="K1756" s="355"/>
      <c r="L1756" s="355"/>
      <c r="M1756" s="332"/>
      <c r="N1756" s="340"/>
      <c r="O1756" s="341"/>
    </row>
    <row r="1757" spans="1:15" ht="16.2">
      <c r="A1757" s="361"/>
      <c r="B1757" s="419" t="s">
        <v>1381</v>
      </c>
      <c r="C1757" s="388" t="str">
        <f t="shared" si="81"/>
        <v xml:space="preserve"> </v>
      </c>
      <c r="D1757" s="363"/>
      <c r="E1757" s="366" t="str">
        <f>VLOOKUP($B1757,DG!A:D,DG!$C$2,)</f>
        <v>Nước đổ bê tông</v>
      </c>
      <c r="F1757" s="338" t="str">
        <f>VLOOKUP($B1757,DG!A:D,DG!$D$2,)</f>
        <v>m3</v>
      </c>
      <c r="G1757" s="448"/>
      <c r="H1757" s="355">
        <f t="shared" si="83"/>
        <v>0</v>
      </c>
      <c r="I1757" s="426">
        <f>H1757+J1757-K1757</f>
        <v>0</v>
      </c>
      <c r="J1757" s="355"/>
      <c r="K1757" s="355"/>
      <c r="L1757" s="355"/>
      <c r="M1757" s="332"/>
      <c r="N1757" s="340"/>
      <c r="O1757" s="341"/>
    </row>
    <row r="1758" spans="1:15" ht="16.2">
      <c r="A1758" s="361"/>
      <c r="B1758" s="419" t="s">
        <v>1382</v>
      </c>
      <c r="C1758" s="388" t="str">
        <f t="shared" si="81"/>
        <v xml:space="preserve"> </v>
      </c>
      <c r="D1758" s="363"/>
      <c r="E1758" s="358" t="str">
        <f>VLOOKUP($B1758,DG!A:D,DG!$C$2,)</f>
        <v>Dây thép buộc A70</v>
      </c>
      <c r="F1758" s="363" t="str">
        <f>VLOOKUP($B1758,DG!A:D,DG!$D$2,)</f>
        <v>kg</v>
      </c>
      <c r="G1758" s="448"/>
      <c r="H1758" s="355">
        <f t="shared" si="83"/>
        <v>0</v>
      </c>
      <c r="I1758" s="596">
        <f>H1758+J1758-K1758</f>
        <v>0</v>
      </c>
      <c r="J1758" s="355"/>
      <c r="K1758" s="355"/>
      <c r="L1758" s="355"/>
      <c r="M1758" s="332"/>
      <c r="N1758" s="340"/>
      <c r="O1758" s="341"/>
    </row>
    <row r="1759" spans="1:15" ht="16.2">
      <c r="A1759" s="361"/>
      <c r="B1759" s="419" t="s">
        <v>468</v>
      </c>
      <c r="C1759" s="388" t="str">
        <f t="shared" si="81"/>
        <v xml:space="preserve"> </v>
      </c>
      <c r="D1759" s="363"/>
      <c r="E1759" s="358" t="str">
        <f>VLOOKUP($B1759,DG!A:D,DG!$C$2,)</f>
        <v>Sắt   Ø8</v>
      </c>
      <c r="F1759" s="363" t="str">
        <f>VLOOKUP($B1759,DG!A:D,DG!$D$2,)</f>
        <v>kg</v>
      </c>
      <c r="G1759" s="448"/>
      <c r="H1759" s="355">
        <f t="shared" si="83"/>
        <v>0</v>
      </c>
      <c r="I1759" s="596">
        <f>H1759+J1759-K1759</f>
        <v>0</v>
      </c>
      <c r="J1759" s="355"/>
      <c r="K1759" s="355"/>
      <c r="L1759" s="355"/>
      <c r="M1759" s="332"/>
      <c r="N1759" s="340"/>
      <c r="O1759" s="341"/>
    </row>
    <row r="1760" spans="1:15" ht="16.2">
      <c r="A1760" s="361"/>
      <c r="B1760" s="419" t="s">
        <v>1383</v>
      </c>
      <c r="C1760" s="388" t="str">
        <f t="shared" si="81"/>
        <v xml:space="preserve"> </v>
      </c>
      <c r="D1760" s="338" t="str">
        <f>VLOOKUP($B1760,DG!A:D,DG!$B$2,)</f>
        <v>04.5142</v>
      </c>
      <c r="E1760" s="358" t="str">
        <f>VLOOKUP($B1760,DG!A:D,DG!$C$2,)</f>
        <v>Cừ tràm 2,5m</v>
      </c>
      <c r="F1760" s="363" t="str">
        <f>VLOOKUP($B1760,DG!A:D,DG!$D$2,)</f>
        <v>cây</v>
      </c>
      <c r="G1760" s="448"/>
      <c r="H1760" s="355">
        <f t="shared" si="83"/>
        <v>0</v>
      </c>
      <c r="I1760" s="596">
        <f>H1760+J1760-K1760</f>
        <v>0</v>
      </c>
      <c r="J1760" s="355"/>
      <c r="K1760" s="355"/>
      <c r="L1760" s="355"/>
      <c r="M1760" s="332"/>
      <c r="N1760" s="340"/>
      <c r="O1760" s="341"/>
    </row>
    <row r="1761" spans="1:15" ht="16.2">
      <c r="A1761" s="361"/>
      <c r="B1761" s="419" t="s">
        <v>1384</v>
      </c>
      <c r="C1761" s="388" t="str">
        <f t="shared" si="81"/>
        <v xml:space="preserve"> </v>
      </c>
      <c r="D1761" s="338" t="str">
        <f>VLOOKUP($B1761,DG!A:D,DG!$B$2,)</f>
        <v>03.1112</v>
      </c>
      <c r="E1761" s="366" t="str">
        <f>VLOOKUP($B1761,DG!A:D,DG!$C$2,)</f>
        <v>Đào hố móng đất cấp 2 sâu &gt;1m</v>
      </c>
      <c r="F1761" s="338" t="str">
        <f>VLOOKUP($B1761,DG!A:D,DG!$D$2,)</f>
        <v>m3</v>
      </c>
      <c r="G1761" s="448"/>
      <c r="H1761" s="355">
        <f t="shared" si="83"/>
        <v>0</v>
      </c>
      <c r="I1761" s="426">
        <f>H1761+J1761-K1761</f>
        <v>0</v>
      </c>
      <c r="J1761" s="355"/>
      <c r="K1761" s="355"/>
      <c r="L1761" s="355"/>
      <c r="M1761" s="332"/>
      <c r="N1761" s="340"/>
      <c r="O1761" s="341"/>
    </row>
    <row r="1762" spans="1:15" ht="16.2">
      <c r="A1762" s="361"/>
      <c r="B1762" s="419" t="s">
        <v>1385</v>
      </c>
      <c r="C1762" s="388" t="str">
        <f t="shared" si="81"/>
        <v xml:space="preserve"> </v>
      </c>
      <c r="D1762" s="338" t="str">
        <f>VLOOKUP($B1762,DG!A:D,DG!$B$2,)</f>
        <v>03.2202</v>
      </c>
      <c r="E1762" s="366" t="str">
        <f>VLOOKUP($B1762,DG!A:D,DG!$C$2,)</f>
        <v>Đắp đất hố móng, đất cấp 2</v>
      </c>
      <c r="F1762" s="338" t="str">
        <f>VLOOKUP($B1762,DG!A:D,DG!$D$2,)</f>
        <v>m3</v>
      </c>
      <c r="G1762" s="448"/>
      <c r="H1762" s="355">
        <f t="shared" si="83"/>
        <v>0</v>
      </c>
      <c r="I1762" s="426">
        <f>H1762+J1762-K1762</f>
        <v>0</v>
      </c>
      <c r="J1762" s="355"/>
      <c r="K1762" s="355"/>
      <c r="L1762" s="355"/>
      <c r="M1762" s="332"/>
      <c r="N1762" s="340"/>
      <c r="O1762" s="341"/>
    </row>
    <row r="1763" spans="1:15" ht="16.2">
      <c r="A1763" s="361"/>
      <c r="B1763" s="419" t="s">
        <v>580</v>
      </c>
      <c r="C1763" s="388" t="str">
        <f t="shared" si="81"/>
        <v xml:space="preserve"> </v>
      </c>
      <c r="D1763" s="338" t="str">
        <f>VLOOKUP($B1763,DG!A:D,DG!$B$2,)</f>
        <v>04.3112</v>
      </c>
      <c r="E1763" s="366" t="str">
        <f>VLOOKUP($B1763,DG!A:D,DG!$C$2,)</f>
        <v>Đổ bê tông mác M100 đá 4x6</v>
      </c>
      <c r="F1763" s="338" t="str">
        <f>VLOOKUP($B1763,DG!A:D,DG!$D$2,)</f>
        <v>m3</v>
      </c>
      <c r="G1763" s="448"/>
      <c r="H1763" s="355">
        <f t="shared" si="83"/>
        <v>0</v>
      </c>
      <c r="I1763" s="426">
        <f>H1763+J1763-K1763</f>
        <v>0</v>
      </c>
      <c r="J1763" s="355"/>
      <c r="K1763" s="355"/>
      <c r="L1763" s="355"/>
      <c r="M1763" s="332"/>
      <c r="N1763" s="340"/>
      <c r="O1763" s="341"/>
    </row>
    <row r="1764" spans="1:15" ht="16.2">
      <c r="A1764" s="361"/>
      <c r="B1764" s="419" t="s">
        <v>480</v>
      </c>
      <c r="C1764" s="388" t="str">
        <f t="shared" si="81"/>
        <v xml:space="preserve"> </v>
      </c>
      <c r="D1764" s="338" t="str">
        <f>VLOOKUP($B1764,DG!A:D,DG!$B$2,)</f>
        <v>04.1203c</v>
      </c>
      <c r="E1764" s="366" t="str">
        <f>VLOOKUP($B1764,DG!A:D,DG!$C$2,)</f>
        <v>Đổ bê tông móng trụ &lt;=250cm-M200 đá 1x2</v>
      </c>
      <c r="F1764" s="338" t="str">
        <f>VLOOKUP($B1764,DG!A:D,DG!$D$2,)</f>
        <v>m3</v>
      </c>
      <c r="G1764" s="448"/>
      <c r="H1764" s="355"/>
      <c r="I1764" s="426">
        <f>H1764+J1764-K1764</f>
        <v>0</v>
      </c>
      <c r="J1764" s="355"/>
      <c r="K1764" s="355"/>
      <c r="L1764" s="355"/>
      <c r="M1764" s="332"/>
      <c r="N1764" s="340"/>
      <c r="O1764" s="341"/>
    </row>
    <row r="1765" spans="1:15" ht="16.2">
      <c r="A1765" s="361"/>
      <c r="B1765" s="419" t="s">
        <v>475</v>
      </c>
      <c r="C1765" s="388" t="str">
        <f t="shared" si="81"/>
        <v xml:space="preserve"> </v>
      </c>
      <c r="D1765" s="338" t="str">
        <f>VLOOKUP($B1765,DG!A:D,DG!$B$2,)</f>
        <v>04.5101</v>
      </c>
      <c r="E1765" s="366" t="str">
        <f>VLOOKUP($B1765,DG!A:D,DG!$C$2,)</f>
        <v>Gia công và lắp dựng cốt thép D&lt;=10</v>
      </c>
      <c r="F1765" s="338" t="str">
        <f>VLOOKUP($B1765,DG!A:D,DG!$D$2,)</f>
        <v>kg</v>
      </c>
      <c r="G1765" s="448"/>
      <c r="H1765" s="355"/>
      <c r="I1765" s="426">
        <f>H1765+J1765-K1765</f>
        <v>0</v>
      </c>
      <c r="J1765" s="355"/>
      <c r="K1765" s="355"/>
      <c r="L1765" s="355"/>
      <c r="M1765" s="332"/>
      <c r="N1765" s="340"/>
      <c r="O1765" s="341"/>
    </row>
    <row r="1766" spans="1:15" ht="16.2">
      <c r="A1766" s="361"/>
      <c r="B1766" s="419" t="s">
        <v>582</v>
      </c>
      <c r="C1766" s="388" t="str">
        <f t="shared" si="81"/>
        <v xml:space="preserve"> </v>
      </c>
      <c r="D1766" s="338" t="str">
        <f>VLOOKUP($B1766,DG!A:D,DG!$B$2,)</f>
        <v>04.2001</v>
      </c>
      <c r="E1766" s="366" t="str">
        <f>VLOOKUP($B1766,DG!A:D,DG!$C$2,)</f>
        <v>Gia công và lắp dựng ván khuôn</v>
      </c>
      <c r="F1766" s="338" t="str">
        <f>VLOOKUP($B1766,DG!A:D,DG!$D$2,)</f>
        <v>m2</v>
      </c>
      <c r="G1766" s="448"/>
      <c r="H1766" s="355"/>
      <c r="I1766" s="426">
        <f>H1766+J1766-K1766</f>
        <v>0</v>
      </c>
      <c r="J1766" s="355"/>
      <c r="K1766" s="355"/>
      <c r="L1766" s="355"/>
      <c r="M1766" s="332"/>
      <c r="N1766" s="340"/>
      <c r="O1766" s="341"/>
    </row>
    <row r="1767" spans="1:15" ht="16.2">
      <c r="A1767" s="361"/>
      <c r="B1767" s="419" t="s">
        <v>1386</v>
      </c>
      <c r="C1767" s="388" t="str">
        <f t="shared" si="81"/>
        <v xml:space="preserve"> </v>
      </c>
      <c r="D1767" s="363" t="str">
        <f>VLOOKUP($B1767,DG!A:C,2,)</f>
        <v>02.1211</v>
      </c>
      <c r="E1767" s="366" t="str">
        <f>VLOOKUP($B1767,DG!A:C,3,)</f>
        <v>V/c xi măng ( cự ly &lt;=100m)</v>
      </c>
      <c r="F1767" s="363" t="str">
        <f>VLOOKUP($B1767,DG!A:D,4,0)</f>
        <v>tấn</v>
      </c>
      <c r="G1767" s="365"/>
      <c r="H1767" s="364"/>
      <c r="I1767" s="426">
        <f>H1767+J1767-K1767</f>
        <v>0</v>
      </c>
      <c r="J1767" s="364"/>
      <c r="K1767" s="364"/>
      <c r="L1767" s="364"/>
      <c r="M1767" s="332"/>
      <c r="N1767" s="340"/>
      <c r="O1767" s="341"/>
    </row>
    <row r="1768" spans="1:15" ht="16.2">
      <c r="A1768" s="361"/>
      <c r="B1768" s="419" t="s">
        <v>584</v>
      </c>
      <c r="C1768" s="388" t="str">
        <f t="shared" si="81"/>
        <v xml:space="preserve"> </v>
      </c>
      <c r="D1768" s="363">
        <f>VLOOKUP($B1768,DG!A:C,2,)</f>
        <v>0</v>
      </c>
      <c r="E1768" s="366" t="str">
        <f>VLOOKUP($B1768,DG!A:C,3,)</f>
        <v>Cát vàng</v>
      </c>
      <c r="F1768" s="363" t="str">
        <f>VLOOKUP($B1768,DG!A:D,4,0)</f>
        <v>m3</v>
      </c>
      <c r="G1768" s="365"/>
      <c r="H1768" s="364"/>
      <c r="I1768" s="426">
        <f>H1768+J1768-K1768</f>
        <v>0</v>
      </c>
      <c r="J1768" s="364"/>
      <c r="K1768" s="364"/>
      <c r="L1768" s="364"/>
      <c r="M1768" s="332"/>
      <c r="N1768" s="340"/>
      <c r="O1768" s="341"/>
    </row>
    <row r="1769" spans="1:15" ht="16.2">
      <c r="A1769" s="361"/>
      <c r="B1769" s="419" t="s">
        <v>583</v>
      </c>
      <c r="C1769" s="388" t="str">
        <f t="shared" si="81"/>
        <v xml:space="preserve"> </v>
      </c>
      <c r="D1769" s="363" t="str">
        <f>VLOOKUP($B1769,DG!A:C,2,)</f>
        <v>02.1351</v>
      </c>
      <c r="E1769" s="366" t="str">
        <f>VLOOKUP($B1769,DG!A:C,3,)</f>
        <v>V/c cốt thép ( cự ly &lt;=100m)</v>
      </c>
      <c r="F1769" s="363" t="str">
        <f>VLOOKUP($B1769,DG!A:D,4,0)</f>
        <v>tấn</v>
      </c>
      <c r="G1769" s="365"/>
      <c r="H1769" s="364"/>
      <c r="I1769" s="426">
        <f>H1769+J1769-K1769</f>
        <v>0</v>
      </c>
      <c r="J1769" s="364"/>
      <c r="K1769" s="364"/>
      <c r="L1769" s="364"/>
      <c r="M1769" s="332"/>
      <c r="N1769" s="340"/>
      <c r="O1769" s="341"/>
    </row>
    <row r="1770" spans="1:15" ht="16.2">
      <c r="A1770" s="361"/>
      <c r="B1770" s="419" t="s">
        <v>1387</v>
      </c>
      <c r="C1770" s="388" t="str">
        <f t="shared" si="81"/>
        <v xml:space="preserve"> </v>
      </c>
      <c r="D1770" s="449" t="str">
        <f>VLOOKUP($B1770,DG!A:C,2,)</f>
        <v>02.1241</v>
      </c>
      <c r="E1770" s="597" t="str">
        <f>VLOOKUP($B1770,DG!A:C,3,)</f>
        <v>V/c đá dăm ( cự ly &lt;=100m)</v>
      </c>
      <c r="F1770" s="332" t="str">
        <f>VLOOKUP($B1770,DG!A:D,4,0)</f>
        <v>m3</v>
      </c>
      <c r="G1770" s="450"/>
      <c r="H1770" s="451"/>
      <c r="I1770" s="426">
        <f>H1770+J1770-K1770</f>
        <v>0</v>
      </c>
      <c r="J1770" s="451"/>
      <c r="K1770" s="451"/>
      <c r="L1770" s="451"/>
      <c r="M1770" s="332"/>
      <c r="N1770" s="340"/>
      <c r="O1770" s="341"/>
    </row>
    <row r="1771" spans="1:15" ht="16.2">
      <c r="B1771" s="452"/>
      <c r="C1771" s="388" t="str">
        <f t="shared" si="81"/>
        <v xml:space="preserve"> </v>
      </c>
      <c r="D1771" s="328"/>
      <c r="E1771" s="329"/>
      <c r="F1771" s="328"/>
      <c r="G1771" s="330"/>
      <c r="H1771" s="328"/>
      <c r="I1771" s="328"/>
      <c r="J1771" s="328"/>
      <c r="K1771" s="328"/>
      <c r="L1771" s="328"/>
      <c r="M1771" s="339"/>
      <c r="N1771" s="339"/>
      <c r="O1771" s="339"/>
    </row>
    <row r="1772" spans="1:15" ht="16.2">
      <c r="A1772" s="288"/>
      <c r="C1772" s="310"/>
      <c r="G1772" s="454"/>
      <c r="M1772" s="295"/>
      <c r="N1772" s="295"/>
      <c r="O1772" s="455"/>
    </row>
    <row r="1773" spans="1:15" ht="16.2">
      <c r="G1773" s="454"/>
    </row>
    <row r="1774" spans="1:15" ht="16.2">
      <c r="G1774" s="454"/>
    </row>
    <row r="1775" spans="1:15" ht="16.2">
      <c r="G1775" s="454"/>
    </row>
    <row r="1776" spans="1:15" ht="16.2">
      <c r="G1776" s="454"/>
    </row>
    <row r="1777" spans="1:36" ht="16.2">
      <c r="E1777" s="456"/>
      <c r="G1777" s="454"/>
    </row>
    <row r="1778" spans="1:36" ht="16.8">
      <c r="E1778" s="457"/>
      <c r="G1778" s="454"/>
    </row>
    <row r="1779" spans="1:36" s="291" customFormat="1" ht="16.2">
      <c r="A1779" s="304"/>
      <c r="B1779" s="289"/>
      <c r="C1779" s="290"/>
      <c r="E1779" s="453"/>
      <c r="G1779" s="454"/>
      <c r="I1779" s="295"/>
      <c r="J1779" s="295"/>
      <c r="K1779" s="295"/>
      <c r="L1779" s="295"/>
      <c r="M1779" s="302"/>
      <c r="N1779" s="302"/>
      <c r="O1779" s="303"/>
      <c r="P1779" s="295"/>
      <c r="Q1779" s="295"/>
      <c r="R1779" s="295"/>
      <c r="S1779" s="295"/>
      <c r="T1779" s="295"/>
      <c r="U1779" s="295"/>
      <c r="V1779" s="295"/>
      <c r="W1779" s="295"/>
      <c r="X1779" s="295"/>
      <c r="Y1779" s="295"/>
      <c r="Z1779" s="295"/>
      <c r="AA1779" s="295"/>
      <c r="AB1779" s="295"/>
      <c r="AC1779" s="295"/>
      <c r="AD1779" s="295"/>
      <c r="AE1779" s="295"/>
      <c r="AF1779" s="295"/>
      <c r="AG1779" s="295"/>
      <c r="AH1779" s="295"/>
      <c r="AI1779" s="295"/>
      <c r="AJ1779" s="295"/>
    </row>
    <row r="1780" spans="1:36" s="291" customFormat="1" ht="16.2">
      <c r="A1780" s="304"/>
      <c r="B1780" s="289"/>
      <c r="C1780" s="290"/>
      <c r="E1780" s="453"/>
      <c r="G1780" s="454"/>
      <c r="I1780" s="295"/>
      <c r="J1780" s="295"/>
      <c r="K1780" s="295"/>
      <c r="L1780" s="295"/>
      <c r="M1780" s="302"/>
      <c r="N1780" s="302"/>
      <c r="O1780" s="303"/>
      <c r="P1780" s="295"/>
      <c r="Q1780" s="295"/>
      <c r="R1780" s="295"/>
      <c r="S1780" s="295"/>
      <c r="T1780" s="295"/>
      <c r="U1780" s="295"/>
      <c r="V1780" s="295"/>
      <c r="W1780" s="295"/>
      <c r="X1780" s="295"/>
      <c r="Y1780" s="295"/>
      <c r="Z1780" s="295"/>
      <c r="AA1780" s="295"/>
      <c r="AB1780" s="295"/>
      <c r="AC1780" s="295"/>
      <c r="AD1780" s="295"/>
      <c r="AE1780" s="295"/>
      <c r="AF1780" s="295"/>
      <c r="AG1780" s="295"/>
      <c r="AH1780" s="295"/>
      <c r="AI1780" s="295"/>
      <c r="AJ1780" s="295"/>
    </row>
    <row r="1781" spans="1:36" s="291" customFormat="1" ht="16.2">
      <c r="A1781" s="304"/>
      <c r="B1781" s="289"/>
      <c r="C1781" s="290"/>
      <c r="E1781" s="453"/>
      <c r="G1781" s="454"/>
      <c r="I1781" s="295"/>
      <c r="J1781" s="295"/>
      <c r="K1781" s="295"/>
      <c r="L1781" s="295"/>
      <c r="M1781" s="302"/>
      <c r="N1781" s="302"/>
      <c r="O1781" s="303"/>
      <c r="P1781" s="295"/>
      <c r="Q1781" s="295"/>
      <c r="R1781" s="295"/>
      <c r="S1781" s="295"/>
      <c r="T1781" s="295"/>
      <c r="U1781" s="295"/>
      <c r="V1781" s="295"/>
      <c r="W1781" s="295"/>
      <c r="X1781" s="295"/>
      <c r="Y1781" s="295"/>
      <c r="Z1781" s="295"/>
      <c r="AA1781" s="295"/>
      <c r="AB1781" s="295"/>
      <c r="AC1781" s="295"/>
      <c r="AD1781" s="295"/>
      <c r="AE1781" s="295"/>
      <c r="AF1781" s="295"/>
      <c r="AG1781" s="295"/>
      <c r="AH1781" s="295"/>
      <c r="AI1781" s="295"/>
      <c r="AJ1781" s="295"/>
    </row>
    <row r="1782" spans="1:36" s="291" customFormat="1" ht="16.2">
      <c r="A1782" s="304"/>
      <c r="B1782" s="289"/>
      <c r="C1782" s="290"/>
      <c r="E1782" s="453"/>
      <c r="G1782" s="454"/>
      <c r="I1782" s="295"/>
      <c r="J1782" s="295"/>
      <c r="K1782" s="295"/>
      <c r="L1782" s="295"/>
      <c r="M1782" s="302"/>
      <c r="N1782" s="302"/>
      <c r="O1782" s="303"/>
      <c r="P1782" s="295"/>
      <c r="Q1782" s="295"/>
      <c r="R1782" s="295"/>
      <c r="S1782" s="295"/>
      <c r="T1782" s="295"/>
      <c r="U1782" s="295"/>
      <c r="V1782" s="295"/>
      <c r="W1782" s="295"/>
      <c r="X1782" s="295"/>
      <c r="Y1782" s="295"/>
      <c r="Z1782" s="295"/>
      <c r="AA1782" s="295"/>
      <c r="AB1782" s="295"/>
      <c r="AC1782" s="295"/>
      <c r="AD1782" s="295"/>
      <c r="AE1782" s="295"/>
      <c r="AF1782" s="295"/>
      <c r="AG1782" s="295"/>
      <c r="AH1782" s="295"/>
      <c r="AI1782" s="295"/>
      <c r="AJ1782" s="295"/>
    </row>
    <row r="1783" spans="1:36" s="291" customFormat="1" ht="16.2">
      <c r="A1783" s="304"/>
      <c r="B1783" s="289"/>
      <c r="C1783" s="290"/>
      <c r="E1783" s="453"/>
      <c r="G1783" s="454"/>
      <c r="I1783" s="295"/>
      <c r="J1783" s="295"/>
      <c r="K1783" s="295"/>
      <c r="L1783" s="295"/>
      <c r="M1783" s="302"/>
      <c r="N1783" s="302"/>
      <c r="O1783" s="303"/>
      <c r="P1783" s="295"/>
      <c r="Q1783" s="295"/>
      <c r="R1783" s="295"/>
      <c r="S1783" s="295"/>
      <c r="T1783" s="295"/>
      <c r="U1783" s="295"/>
      <c r="V1783" s="295"/>
      <c r="W1783" s="295"/>
      <c r="X1783" s="295"/>
      <c r="Y1783" s="295"/>
      <c r="Z1783" s="295"/>
      <c r="AA1783" s="295"/>
      <c r="AB1783" s="295"/>
      <c r="AC1783" s="295"/>
      <c r="AD1783" s="295"/>
      <c r="AE1783" s="295"/>
      <c r="AF1783" s="295"/>
      <c r="AG1783" s="295"/>
      <c r="AH1783" s="295"/>
      <c r="AI1783" s="295"/>
      <c r="AJ1783" s="295"/>
    </row>
    <row r="1784" spans="1:36" s="291" customFormat="1" ht="16.2">
      <c r="A1784" s="304"/>
      <c r="B1784" s="289"/>
      <c r="C1784" s="290"/>
      <c r="E1784" s="453"/>
      <c r="G1784" s="454"/>
      <c r="I1784" s="295"/>
      <c r="J1784" s="295"/>
      <c r="K1784" s="295"/>
      <c r="L1784" s="295"/>
      <c r="M1784" s="302"/>
      <c r="N1784" s="302"/>
      <c r="O1784" s="303"/>
      <c r="P1784" s="295"/>
      <c r="Q1784" s="295"/>
      <c r="R1784" s="295"/>
      <c r="S1784" s="295"/>
      <c r="T1784" s="295"/>
      <c r="U1784" s="295"/>
      <c r="V1784" s="295"/>
      <c r="W1784" s="295"/>
      <c r="X1784" s="295"/>
      <c r="Y1784" s="295"/>
      <c r="Z1784" s="295"/>
      <c r="AA1784" s="295"/>
      <c r="AB1784" s="295"/>
      <c r="AC1784" s="295"/>
      <c r="AD1784" s="295"/>
      <c r="AE1784" s="295"/>
      <c r="AF1784" s="295"/>
      <c r="AG1784" s="295"/>
      <c r="AH1784" s="295"/>
      <c r="AI1784" s="295"/>
      <c r="AJ1784" s="295"/>
    </row>
    <row r="1785" spans="1:36" s="291" customFormat="1" ht="16.2">
      <c r="A1785" s="304"/>
      <c r="B1785" s="289"/>
      <c r="C1785" s="290"/>
      <c r="E1785" s="453"/>
      <c r="G1785" s="454"/>
      <c r="I1785" s="295"/>
      <c r="J1785" s="295"/>
      <c r="K1785" s="295"/>
      <c r="L1785" s="295"/>
      <c r="M1785" s="302"/>
      <c r="N1785" s="302"/>
      <c r="O1785" s="303"/>
      <c r="P1785" s="295"/>
      <c r="Q1785" s="295"/>
      <c r="R1785" s="295"/>
      <c r="S1785" s="295"/>
      <c r="T1785" s="295"/>
      <c r="U1785" s="295"/>
      <c r="V1785" s="295"/>
      <c r="W1785" s="295"/>
      <c r="X1785" s="295"/>
      <c r="Y1785" s="295"/>
      <c r="Z1785" s="295"/>
      <c r="AA1785" s="295"/>
      <c r="AB1785" s="295"/>
      <c r="AC1785" s="295"/>
      <c r="AD1785" s="295"/>
      <c r="AE1785" s="295"/>
      <c r="AF1785" s="295"/>
      <c r="AG1785" s="295"/>
      <c r="AH1785" s="295"/>
      <c r="AI1785" s="295"/>
      <c r="AJ1785" s="295"/>
    </row>
    <row r="1786" spans="1:36" s="291" customFormat="1" ht="16.2">
      <c r="A1786" s="304"/>
      <c r="B1786" s="289"/>
      <c r="C1786" s="290"/>
      <c r="E1786" s="453"/>
      <c r="G1786" s="454"/>
      <c r="I1786" s="295"/>
      <c r="J1786" s="295"/>
      <c r="K1786" s="295"/>
      <c r="L1786" s="295"/>
      <c r="M1786" s="302"/>
      <c r="N1786" s="302"/>
      <c r="O1786" s="303"/>
      <c r="P1786" s="295"/>
      <c r="Q1786" s="295"/>
      <c r="R1786" s="295"/>
      <c r="S1786" s="295"/>
      <c r="T1786" s="295"/>
      <c r="U1786" s="295"/>
      <c r="V1786" s="295"/>
      <c r="W1786" s="295"/>
      <c r="X1786" s="295"/>
      <c r="Y1786" s="295"/>
      <c r="Z1786" s="295"/>
      <c r="AA1786" s="295"/>
      <c r="AB1786" s="295"/>
      <c r="AC1786" s="295"/>
      <c r="AD1786" s="295"/>
      <c r="AE1786" s="295"/>
      <c r="AF1786" s="295"/>
      <c r="AG1786" s="295"/>
      <c r="AH1786" s="295"/>
      <c r="AI1786" s="295"/>
      <c r="AJ1786" s="295"/>
    </row>
    <row r="1787" spans="1:36" s="291" customFormat="1" ht="16.2">
      <c r="A1787" s="304"/>
      <c r="B1787" s="289"/>
      <c r="C1787" s="290"/>
      <c r="E1787" s="453"/>
      <c r="G1787" s="454"/>
      <c r="I1787" s="295"/>
      <c r="J1787" s="295"/>
      <c r="K1787" s="295"/>
      <c r="L1787" s="295"/>
      <c r="M1787" s="302"/>
      <c r="N1787" s="302"/>
      <c r="O1787" s="303"/>
      <c r="P1787" s="295"/>
      <c r="Q1787" s="295"/>
      <c r="R1787" s="295"/>
      <c r="S1787" s="295"/>
      <c r="T1787" s="295"/>
      <c r="U1787" s="295"/>
      <c r="V1787" s="295"/>
      <c r="W1787" s="295"/>
      <c r="X1787" s="295"/>
      <c r="Y1787" s="295"/>
      <c r="Z1787" s="295"/>
      <c r="AA1787" s="295"/>
      <c r="AB1787" s="295"/>
      <c r="AC1787" s="295"/>
      <c r="AD1787" s="295"/>
      <c r="AE1787" s="295"/>
      <c r="AF1787" s="295"/>
      <c r="AG1787" s="295"/>
      <c r="AH1787" s="295"/>
      <c r="AI1787" s="295"/>
      <c r="AJ1787" s="295"/>
    </row>
    <row r="1788" spans="1:36" s="291" customFormat="1" ht="16.2">
      <c r="A1788" s="304"/>
      <c r="B1788" s="289"/>
      <c r="C1788" s="290"/>
      <c r="E1788" s="453"/>
      <c r="G1788" s="454"/>
      <c r="I1788" s="295"/>
      <c r="J1788" s="295"/>
      <c r="K1788" s="295"/>
      <c r="L1788" s="295"/>
      <c r="M1788" s="302"/>
      <c r="N1788" s="302"/>
      <c r="O1788" s="303"/>
      <c r="P1788" s="295"/>
      <c r="Q1788" s="295"/>
      <c r="R1788" s="295"/>
      <c r="S1788" s="295"/>
      <c r="T1788" s="295"/>
      <c r="U1788" s="295"/>
      <c r="V1788" s="295"/>
      <c r="W1788" s="295"/>
      <c r="X1788" s="295"/>
      <c r="Y1788" s="295"/>
      <c r="Z1788" s="295"/>
      <c r="AA1788" s="295"/>
      <c r="AB1788" s="295"/>
      <c r="AC1788" s="295"/>
      <c r="AD1788" s="295"/>
      <c r="AE1788" s="295"/>
      <c r="AF1788" s="295"/>
      <c r="AG1788" s="295"/>
      <c r="AH1788" s="295"/>
      <c r="AI1788" s="295"/>
      <c r="AJ1788" s="295"/>
    </row>
    <row r="1789" spans="1:36" s="291" customFormat="1" ht="16.2">
      <c r="A1789" s="304"/>
      <c r="B1789" s="289"/>
      <c r="C1789" s="290"/>
      <c r="E1789" s="453"/>
      <c r="G1789" s="454"/>
      <c r="I1789" s="295"/>
      <c r="J1789" s="295"/>
      <c r="K1789" s="295"/>
      <c r="L1789" s="295"/>
      <c r="M1789" s="302"/>
      <c r="N1789" s="302"/>
      <c r="O1789" s="303"/>
      <c r="P1789" s="295"/>
      <c r="Q1789" s="295"/>
      <c r="R1789" s="295"/>
      <c r="S1789" s="295"/>
      <c r="T1789" s="295"/>
      <c r="U1789" s="295"/>
      <c r="V1789" s="295"/>
      <c r="W1789" s="295"/>
      <c r="X1789" s="295"/>
      <c r="Y1789" s="295"/>
      <c r="Z1789" s="295"/>
      <c r="AA1789" s="295"/>
      <c r="AB1789" s="295"/>
      <c r="AC1789" s="295"/>
      <c r="AD1789" s="295"/>
      <c r="AE1789" s="295"/>
      <c r="AF1789" s="295"/>
      <c r="AG1789" s="295"/>
      <c r="AH1789" s="295"/>
      <c r="AI1789" s="295"/>
      <c r="AJ1789" s="295"/>
    </row>
    <row r="1790" spans="1:36" s="291" customFormat="1" ht="16.2">
      <c r="A1790" s="304"/>
      <c r="B1790" s="289"/>
      <c r="C1790" s="290"/>
      <c r="E1790" s="453"/>
      <c r="G1790" s="454"/>
      <c r="I1790" s="295"/>
      <c r="J1790" s="295"/>
      <c r="K1790" s="295"/>
      <c r="L1790" s="295"/>
      <c r="M1790" s="302"/>
      <c r="N1790" s="302"/>
      <c r="O1790" s="303"/>
      <c r="P1790" s="295"/>
      <c r="Q1790" s="295"/>
      <c r="R1790" s="295"/>
      <c r="S1790" s="295"/>
      <c r="T1790" s="295"/>
      <c r="U1790" s="295"/>
      <c r="V1790" s="295"/>
      <c r="W1790" s="295"/>
      <c r="X1790" s="295"/>
      <c r="Y1790" s="295"/>
      <c r="Z1790" s="295"/>
      <c r="AA1790" s="295"/>
      <c r="AB1790" s="295"/>
      <c r="AC1790" s="295"/>
      <c r="AD1790" s="295"/>
      <c r="AE1790" s="295"/>
      <c r="AF1790" s="295"/>
      <c r="AG1790" s="295"/>
      <c r="AH1790" s="295"/>
      <c r="AI1790" s="295"/>
      <c r="AJ1790" s="295"/>
    </row>
    <row r="1791" spans="1:36" s="291" customFormat="1" ht="16.2">
      <c r="A1791" s="304"/>
      <c r="B1791" s="289"/>
      <c r="C1791" s="290"/>
      <c r="E1791" s="453"/>
      <c r="G1791" s="454"/>
      <c r="I1791" s="295"/>
      <c r="J1791" s="295"/>
      <c r="K1791" s="295"/>
      <c r="L1791" s="295"/>
      <c r="M1791" s="302"/>
      <c r="N1791" s="302"/>
      <c r="O1791" s="303"/>
      <c r="P1791" s="295"/>
      <c r="Q1791" s="295"/>
      <c r="R1791" s="295"/>
      <c r="S1791" s="295"/>
      <c r="T1791" s="295"/>
      <c r="U1791" s="295"/>
      <c r="V1791" s="295"/>
      <c r="W1791" s="295"/>
      <c r="X1791" s="295"/>
      <c r="Y1791" s="295"/>
      <c r="Z1791" s="295"/>
      <c r="AA1791" s="295"/>
      <c r="AB1791" s="295"/>
      <c r="AC1791" s="295"/>
      <c r="AD1791" s="295"/>
      <c r="AE1791" s="295"/>
      <c r="AF1791" s="295"/>
      <c r="AG1791" s="295"/>
      <c r="AH1791" s="295"/>
      <c r="AI1791" s="295"/>
      <c r="AJ1791" s="295"/>
    </row>
    <row r="1792" spans="1:36" s="291" customFormat="1" ht="16.2">
      <c r="A1792" s="304"/>
      <c r="B1792" s="289"/>
      <c r="C1792" s="290"/>
      <c r="E1792" s="453"/>
      <c r="G1792" s="454"/>
      <c r="I1792" s="295"/>
      <c r="J1792" s="295"/>
      <c r="K1792" s="295"/>
      <c r="L1792" s="295"/>
      <c r="M1792" s="302"/>
      <c r="N1792" s="302"/>
      <c r="O1792" s="303"/>
      <c r="P1792" s="295"/>
      <c r="Q1792" s="295"/>
      <c r="R1792" s="295"/>
      <c r="S1792" s="295"/>
      <c r="T1792" s="295"/>
      <c r="U1792" s="295"/>
      <c r="V1792" s="295"/>
      <c r="W1792" s="295"/>
      <c r="X1792" s="295"/>
      <c r="Y1792" s="295"/>
      <c r="Z1792" s="295"/>
      <c r="AA1792" s="295"/>
      <c r="AB1792" s="295"/>
      <c r="AC1792" s="295"/>
      <c r="AD1792" s="295"/>
      <c r="AE1792" s="295"/>
      <c r="AF1792" s="295"/>
      <c r="AG1792" s="295"/>
      <c r="AH1792" s="295"/>
      <c r="AI1792" s="295"/>
      <c r="AJ1792" s="295"/>
    </row>
    <row r="1793" spans="1:36" s="291" customFormat="1" ht="16.2">
      <c r="A1793" s="304"/>
      <c r="B1793" s="289"/>
      <c r="C1793" s="290"/>
      <c r="E1793" s="453"/>
      <c r="G1793" s="454"/>
      <c r="I1793" s="295"/>
      <c r="J1793" s="295"/>
      <c r="K1793" s="295"/>
      <c r="L1793" s="295"/>
      <c r="M1793" s="302"/>
      <c r="N1793" s="302"/>
      <c r="O1793" s="303"/>
      <c r="P1793" s="295"/>
      <c r="Q1793" s="295"/>
      <c r="R1793" s="295"/>
      <c r="S1793" s="295"/>
      <c r="T1793" s="295"/>
      <c r="U1793" s="295"/>
      <c r="V1793" s="295"/>
      <c r="W1793" s="295"/>
      <c r="X1793" s="295"/>
      <c r="Y1793" s="295"/>
      <c r="Z1793" s="295"/>
      <c r="AA1793" s="295"/>
      <c r="AB1793" s="295"/>
      <c r="AC1793" s="295"/>
      <c r="AD1793" s="295"/>
      <c r="AE1793" s="295"/>
      <c r="AF1793" s="295"/>
      <c r="AG1793" s="295"/>
      <c r="AH1793" s="295"/>
      <c r="AI1793" s="295"/>
      <c r="AJ1793" s="295"/>
    </row>
    <row r="1794" spans="1:36" s="291" customFormat="1" ht="16.2">
      <c r="A1794" s="304"/>
      <c r="B1794" s="289"/>
      <c r="C1794" s="290"/>
      <c r="E1794" s="453"/>
      <c r="G1794" s="454"/>
      <c r="I1794" s="295"/>
      <c r="J1794" s="295"/>
      <c r="K1794" s="295"/>
      <c r="L1794" s="295"/>
      <c r="M1794" s="302"/>
      <c r="N1794" s="302"/>
      <c r="O1794" s="303"/>
      <c r="P1794" s="295"/>
      <c r="Q1794" s="295"/>
      <c r="R1794" s="295"/>
      <c r="S1794" s="295"/>
      <c r="T1794" s="295"/>
      <c r="U1794" s="295"/>
      <c r="V1794" s="295"/>
      <c r="W1794" s="295"/>
      <c r="X1794" s="295"/>
      <c r="Y1794" s="295"/>
      <c r="Z1794" s="295"/>
      <c r="AA1794" s="295"/>
      <c r="AB1794" s="295"/>
      <c r="AC1794" s="295"/>
      <c r="AD1794" s="295"/>
      <c r="AE1794" s="295"/>
      <c r="AF1794" s="295"/>
      <c r="AG1794" s="295"/>
      <c r="AH1794" s="295"/>
      <c r="AI1794" s="295"/>
      <c r="AJ1794" s="295"/>
    </row>
    <row r="1795" spans="1:36" s="291" customFormat="1" ht="16.2">
      <c r="A1795" s="304"/>
      <c r="B1795" s="289"/>
      <c r="C1795" s="290"/>
      <c r="E1795" s="453"/>
      <c r="G1795" s="454"/>
      <c r="I1795" s="295"/>
      <c r="J1795" s="295"/>
      <c r="K1795" s="295"/>
      <c r="L1795" s="295"/>
      <c r="M1795" s="302"/>
      <c r="N1795" s="302"/>
      <c r="O1795" s="303"/>
      <c r="P1795" s="295"/>
      <c r="Q1795" s="295"/>
      <c r="R1795" s="295"/>
      <c r="S1795" s="295"/>
      <c r="T1795" s="295"/>
      <c r="U1795" s="295"/>
      <c r="V1795" s="295"/>
      <c r="W1795" s="295"/>
      <c r="X1795" s="295"/>
      <c r="Y1795" s="295"/>
      <c r="Z1795" s="295"/>
      <c r="AA1795" s="295"/>
      <c r="AB1795" s="295"/>
      <c r="AC1795" s="295"/>
      <c r="AD1795" s="295"/>
      <c r="AE1795" s="295"/>
      <c r="AF1795" s="295"/>
      <c r="AG1795" s="295"/>
      <c r="AH1795" s="295"/>
      <c r="AI1795" s="295"/>
      <c r="AJ1795" s="295"/>
    </row>
    <row r="1796" spans="1:36" s="291" customFormat="1" ht="16.2">
      <c r="A1796" s="304"/>
      <c r="B1796" s="289"/>
      <c r="C1796" s="290"/>
      <c r="E1796" s="453"/>
      <c r="G1796" s="454"/>
      <c r="I1796" s="295"/>
      <c r="J1796" s="295"/>
      <c r="K1796" s="295"/>
      <c r="L1796" s="295"/>
      <c r="M1796" s="302"/>
      <c r="N1796" s="302"/>
      <c r="O1796" s="303"/>
      <c r="P1796" s="295"/>
      <c r="Q1796" s="295"/>
      <c r="R1796" s="295"/>
      <c r="S1796" s="295"/>
      <c r="T1796" s="295"/>
      <c r="U1796" s="295"/>
      <c r="V1796" s="295"/>
      <c r="W1796" s="295"/>
      <c r="X1796" s="295"/>
      <c r="Y1796" s="295"/>
      <c r="Z1796" s="295"/>
      <c r="AA1796" s="295"/>
      <c r="AB1796" s="295"/>
      <c r="AC1796" s="295"/>
      <c r="AD1796" s="295"/>
      <c r="AE1796" s="295"/>
      <c r="AF1796" s="295"/>
      <c r="AG1796" s="295"/>
      <c r="AH1796" s="295"/>
      <c r="AI1796" s="295"/>
      <c r="AJ1796" s="295"/>
    </row>
    <row r="1797" spans="1:36" s="291" customFormat="1" ht="16.2">
      <c r="A1797" s="304"/>
      <c r="B1797" s="289"/>
      <c r="C1797" s="290"/>
      <c r="E1797" s="453"/>
      <c r="G1797" s="454"/>
      <c r="I1797" s="295"/>
      <c r="J1797" s="295"/>
      <c r="K1797" s="295"/>
      <c r="L1797" s="295"/>
      <c r="M1797" s="302"/>
      <c r="N1797" s="302"/>
      <c r="O1797" s="303"/>
      <c r="P1797" s="295"/>
      <c r="Q1797" s="295"/>
      <c r="R1797" s="295"/>
      <c r="S1797" s="295"/>
      <c r="T1797" s="295"/>
      <c r="U1797" s="295"/>
      <c r="V1797" s="295"/>
      <c r="W1797" s="295"/>
      <c r="X1797" s="295"/>
      <c r="Y1797" s="295"/>
      <c r="Z1797" s="295"/>
      <c r="AA1797" s="295"/>
      <c r="AB1797" s="295"/>
      <c r="AC1797" s="295"/>
      <c r="AD1797" s="295"/>
      <c r="AE1797" s="295"/>
      <c r="AF1797" s="295"/>
      <c r="AG1797" s="295"/>
      <c r="AH1797" s="295"/>
      <c r="AI1797" s="295"/>
      <c r="AJ1797" s="295"/>
    </row>
    <row r="1798" spans="1:36" s="291" customFormat="1" ht="16.2">
      <c r="A1798" s="304"/>
      <c r="B1798" s="289"/>
      <c r="C1798" s="290"/>
      <c r="E1798" s="453"/>
      <c r="G1798" s="454"/>
      <c r="I1798" s="295"/>
      <c r="J1798" s="295"/>
      <c r="K1798" s="295"/>
      <c r="L1798" s="295"/>
      <c r="M1798" s="302"/>
      <c r="N1798" s="302"/>
      <c r="O1798" s="303"/>
      <c r="P1798" s="295"/>
      <c r="Q1798" s="295"/>
      <c r="R1798" s="295"/>
      <c r="S1798" s="295"/>
      <c r="T1798" s="295"/>
      <c r="U1798" s="295"/>
      <c r="V1798" s="295"/>
      <c r="W1798" s="295"/>
      <c r="X1798" s="295"/>
      <c r="Y1798" s="295"/>
      <c r="Z1798" s="295"/>
      <c r="AA1798" s="295"/>
      <c r="AB1798" s="295"/>
      <c r="AC1798" s="295"/>
      <c r="AD1798" s="295"/>
      <c r="AE1798" s="295"/>
      <c r="AF1798" s="295"/>
      <c r="AG1798" s="295"/>
      <c r="AH1798" s="295"/>
      <c r="AI1798" s="295"/>
      <c r="AJ1798" s="295"/>
    </row>
    <row r="1799" spans="1:36" s="291" customFormat="1" ht="16.2">
      <c r="A1799" s="304"/>
      <c r="B1799" s="289"/>
      <c r="C1799" s="290"/>
      <c r="E1799" s="453"/>
      <c r="G1799" s="454"/>
      <c r="I1799" s="295"/>
      <c r="J1799" s="295"/>
      <c r="K1799" s="295"/>
      <c r="L1799" s="295"/>
      <c r="M1799" s="302"/>
      <c r="N1799" s="302"/>
      <c r="O1799" s="303"/>
      <c r="P1799" s="295"/>
      <c r="Q1799" s="295"/>
      <c r="R1799" s="295"/>
      <c r="S1799" s="295"/>
      <c r="T1799" s="295"/>
      <c r="U1799" s="295"/>
      <c r="V1799" s="295"/>
      <c r="W1799" s="295"/>
      <c r="X1799" s="295"/>
      <c r="Y1799" s="295"/>
      <c r="Z1799" s="295"/>
      <c r="AA1799" s="295"/>
      <c r="AB1799" s="295"/>
      <c r="AC1799" s="295"/>
      <c r="AD1799" s="295"/>
      <c r="AE1799" s="295"/>
      <c r="AF1799" s="295"/>
      <c r="AG1799" s="295"/>
      <c r="AH1799" s="295"/>
      <c r="AI1799" s="295"/>
      <c r="AJ1799" s="295"/>
    </row>
    <row r="1800" spans="1:36" s="291" customFormat="1" ht="16.2">
      <c r="A1800" s="304"/>
      <c r="B1800" s="289"/>
      <c r="C1800" s="290"/>
      <c r="E1800" s="453"/>
      <c r="G1800" s="454"/>
      <c r="I1800" s="295"/>
      <c r="J1800" s="295"/>
      <c r="K1800" s="295"/>
      <c r="L1800" s="295"/>
      <c r="M1800" s="302"/>
      <c r="N1800" s="302"/>
      <c r="O1800" s="303"/>
      <c r="P1800" s="295"/>
      <c r="Q1800" s="295"/>
      <c r="R1800" s="295"/>
      <c r="S1800" s="295"/>
      <c r="T1800" s="295"/>
      <c r="U1800" s="295"/>
      <c r="V1800" s="295"/>
      <c r="W1800" s="295"/>
      <c r="X1800" s="295"/>
      <c r="Y1800" s="295"/>
      <c r="Z1800" s="295"/>
      <c r="AA1800" s="295"/>
      <c r="AB1800" s="295"/>
      <c r="AC1800" s="295"/>
      <c r="AD1800" s="295"/>
      <c r="AE1800" s="295"/>
      <c r="AF1800" s="295"/>
      <c r="AG1800" s="295"/>
      <c r="AH1800" s="295"/>
      <c r="AI1800" s="295"/>
      <c r="AJ1800" s="295"/>
    </row>
    <row r="1801" spans="1:36" s="291" customFormat="1" ht="16.2">
      <c r="A1801" s="304"/>
      <c r="B1801" s="289"/>
      <c r="C1801" s="290"/>
      <c r="E1801" s="453"/>
      <c r="G1801" s="454"/>
      <c r="I1801" s="295"/>
      <c r="J1801" s="295"/>
      <c r="K1801" s="295"/>
      <c r="L1801" s="295"/>
      <c r="M1801" s="302"/>
      <c r="N1801" s="302"/>
      <c r="O1801" s="303"/>
      <c r="P1801" s="295"/>
      <c r="Q1801" s="295"/>
      <c r="R1801" s="295"/>
      <c r="S1801" s="295"/>
      <c r="T1801" s="295"/>
      <c r="U1801" s="295"/>
      <c r="V1801" s="295"/>
      <c r="W1801" s="295"/>
      <c r="X1801" s="295"/>
      <c r="Y1801" s="295"/>
      <c r="Z1801" s="295"/>
      <c r="AA1801" s="295"/>
      <c r="AB1801" s="295"/>
      <c r="AC1801" s="295"/>
      <c r="AD1801" s="295"/>
      <c r="AE1801" s="295"/>
      <c r="AF1801" s="295"/>
      <c r="AG1801" s="295"/>
      <c r="AH1801" s="295"/>
      <c r="AI1801" s="295"/>
      <c r="AJ1801" s="295"/>
    </row>
    <row r="1802" spans="1:36" s="291" customFormat="1" ht="16.2">
      <c r="A1802" s="304"/>
      <c r="B1802" s="289"/>
      <c r="C1802" s="290"/>
      <c r="E1802" s="453"/>
      <c r="G1802" s="454"/>
      <c r="I1802" s="295"/>
      <c r="J1802" s="295"/>
      <c r="K1802" s="295"/>
      <c r="L1802" s="295"/>
      <c r="M1802" s="302"/>
      <c r="N1802" s="302"/>
      <c r="O1802" s="303"/>
      <c r="P1802" s="295"/>
      <c r="Q1802" s="295"/>
      <c r="R1802" s="295"/>
      <c r="S1802" s="295"/>
      <c r="T1802" s="295"/>
      <c r="U1802" s="295"/>
      <c r="V1802" s="295"/>
      <c r="W1802" s="295"/>
      <c r="X1802" s="295"/>
      <c r="Y1802" s="295"/>
      <c r="Z1802" s="295"/>
      <c r="AA1802" s="295"/>
      <c r="AB1802" s="295"/>
      <c r="AC1802" s="295"/>
      <c r="AD1802" s="295"/>
      <c r="AE1802" s="295"/>
      <c r="AF1802" s="295"/>
      <c r="AG1802" s="295"/>
      <c r="AH1802" s="295"/>
      <c r="AI1802" s="295"/>
      <c r="AJ1802" s="295"/>
    </row>
    <row r="1803" spans="1:36" s="291" customFormat="1" ht="16.2">
      <c r="A1803" s="304"/>
      <c r="B1803" s="289"/>
      <c r="C1803" s="290"/>
      <c r="E1803" s="453"/>
      <c r="G1803" s="454"/>
      <c r="I1803" s="295"/>
      <c r="J1803" s="295"/>
      <c r="K1803" s="295"/>
      <c r="L1803" s="295"/>
      <c r="M1803" s="302"/>
      <c r="N1803" s="302"/>
      <c r="O1803" s="303"/>
      <c r="P1803" s="295"/>
      <c r="Q1803" s="295"/>
      <c r="R1803" s="295"/>
      <c r="S1803" s="295"/>
      <c r="T1803" s="295"/>
      <c r="U1803" s="295"/>
      <c r="V1803" s="295"/>
      <c r="W1803" s="295"/>
      <c r="X1803" s="295"/>
      <c r="Y1803" s="295"/>
      <c r="Z1803" s="295"/>
      <c r="AA1803" s="295"/>
      <c r="AB1803" s="295"/>
      <c r="AC1803" s="295"/>
      <c r="AD1803" s="295"/>
      <c r="AE1803" s="295"/>
      <c r="AF1803" s="295"/>
      <c r="AG1803" s="295"/>
      <c r="AH1803" s="295"/>
      <c r="AI1803" s="295"/>
      <c r="AJ1803" s="295"/>
    </row>
    <row r="1804" spans="1:36" s="291" customFormat="1" ht="16.2">
      <c r="A1804" s="304"/>
      <c r="B1804" s="289"/>
      <c r="C1804" s="290"/>
      <c r="E1804" s="453"/>
      <c r="G1804" s="454"/>
      <c r="I1804" s="295"/>
      <c r="J1804" s="295"/>
      <c r="K1804" s="295"/>
      <c r="L1804" s="295"/>
      <c r="M1804" s="302"/>
      <c r="N1804" s="302"/>
      <c r="O1804" s="303"/>
      <c r="P1804" s="295"/>
      <c r="Q1804" s="295"/>
      <c r="R1804" s="295"/>
      <c r="S1804" s="295"/>
      <c r="T1804" s="295"/>
      <c r="U1804" s="295"/>
      <c r="V1804" s="295"/>
      <c r="W1804" s="295"/>
      <c r="X1804" s="295"/>
      <c r="Y1804" s="295"/>
      <c r="Z1804" s="295"/>
      <c r="AA1804" s="295"/>
      <c r="AB1804" s="295"/>
      <c r="AC1804" s="295"/>
      <c r="AD1804" s="295"/>
      <c r="AE1804" s="295"/>
      <c r="AF1804" s="295"/>
      <c r="AG1804" s="295"/>
      <c r="AH1804" s="295"/>
      <c r="AI1804" s="295"/>
      <c r="AJ1804" s="295"/>
    </row>
    <row r="1805" spans="1:36" s="291" customFormat="1" ht="16.2">
      <c r="A1805" s="304"/>
      <c r="B1805" s="289"/>
      <c r="C1805" s="290"/>
      <c r="E1805" s="453"/>
      <c r="G1805" s="454"/>
      <c r="I1805" s="295"/>
      <c r="J1805" s="295"/>
      <c r="K1805" s="295"/>
      <c r="L1805" s="295"/>
      <c r="M1805" s="302"/>
      <c r="N1805" s="302"/>
      <c r="O1805" s="303"/>
      <c r="P1805" s="295"/>
      <c r="Q1805" s="295"/>
      <c r="R1805" s="295"/>
      <c r="S1805" s="295"/>
      <c r="T1805" s="295"/>
      <c r="U1805" s="295"/>
      <c r="V1805" s="295"/>
      <c r="W1805" s="295"/>
      <c r="X1805" s="295"/>
      <c r="Y1805" s="295"/>
      <c r="Z1805" s="295"/>
      <c r="AA1805" s="295"/>
      <c r="AB1805" s="295"/>
      <c r="AC1805" s="295"/>
      <c r="AD1805" s="295"/>
      <c r="AE1805" s="295"/>
      <c r="AF1805" s="295"/>
      <c r="AG1805" s="295"/>
      <c r="AH1805" s="295"/>
      <c r="AI1805" s="295"/>
      <c r="AJ1805" s="295"/>
    </row>
    <row r="1806" spans="1:36" s="291" customFormat="1" ht="16.2">
      <c r="A1806" s="304"/>
      <c r="B1806" s="289"/>
      <c r="C1806" s="290"/>
      <c r="E1806" s="453"/>
      <c r="G1806" s="454"/>
      <c r="I1806" s="295"/>
      <c r="J1806" s="295"/>
      <c r="K1806" s="295"/>
      <c r="L1806" s="295"/>
      <c r="M1806" s="302"/>
      <c r="N1806" s="302"/>
      <c r="O1806" s="303"/>
      <c r="P1806" s="295"/>
      <c r="Q1806" s="295"/>
      <c r="R1806" s="295"/>
      <c r="S1806" s="295"/>
      <c r="T1806" s="295"/>
      <c r="U1806" s="295"/>
      <c r="V1806" s="295"/>
      <c r="W1806" s="295"/>
      <c r="X1806" s="295"/>
      <c r="Y1806" s="295"/>
      <c r="Z1806" s="295"/>
      <c r="AA1806" s="295"/>
      <c r="AB1806" s="295"/>
      <c r="AC1806" s="295"/>
      <c r="AD1806" s="295"/>
      <c r="AE1806" s="295"/>
      <c r="AF1806" s="295"/>
      <c r="AG1806" s="295"/>
      <c r="AH1806" s="295"/>
      <c r="AI1806" s="295"/>
      <c r="AJ1806" s="295"/>
    </row>
    <row r="1807" spans="1:36" s="291" customFormat="1" ht="16.2">
      <c r="A1807" s="304"/>
      <c r="B1807" s="289"/>
      <c r="C1807" s="290"/>
      <c r="E1807" s="453"/>
      <c r="G1807" s="454"/>
      <c r="I1807" s="295"/>
      <c r="J1807" s="295"/>
      <c r="K1807" s="295"/>
      <c r="L1807" s="295"/>
      <c r="M1807" s="302"/>
      <c r="N1807" s="302"/>
      <c r="O1807" s="303"/>
      <c r="P1807" s="295"/>
      <c r="Q1807" s="295"/>
      <c r="R1807" s="295"/>
      <c r="S1807" s="295"/>
      <c r="T1807" s="295"/>
      <c r="U1807" s="295"/>
      <c r="V1807" s="295"/>
      <c r="W1807" s="295"/>
      <c r="X1807" s="295"/>
      <c r="Y1807" s="295"/>
      <c r="Z1807" s="295"/>
      <c r="AA1807" s="295"/>
      <c r="AB1807" s="295"/>
      <c r="AC1807" s="295"/>
      <c r="AD1807" s="295"/>
      <c r="AE1807" s="295"/>
      <c r="AF1807" s="295"/>
      <c r="AG1807" s="295"/>
      <c r="AH1807" s="295"/>
      <c r="AI1807" s="295"/>
      <c r="AJ1807" s="295"/>
    </row>
    <row r="1808" spans="1:36" s="291" customFormat="1" ht="16.2">
      <c r="A1808" s="304"/>
      <c r="B1808" s="289"/>
      <c r="C1808" s="290"/>
      <c r="E1808" s="453"/>
      <c r="G1808" s="454"/>
      <c r="I1808" s="295"/>
      <c r="J1808" s="295"/>
      <c r="K1808" s="295"/>
      <c r="L1808" s="295"/>
      <c r="M1808" s="302"/>
      <c r="N1808" s="302"/>
      <c r="O1808" s="303"/>
      <c r="P1808" s="295"/>
      <c r="Q1808" s="295"/>
      <c r="R1808" s="295"/>
      <c r="S1808" s="295"/>
      <c r="T1808" s="295"/>
      <c r="U1808" s="295"/>
      <c r="V1808" s="295"/>
      <c r="W1808" s="295"/>
      <c r="X1808" s="295"/>
      <c r="Y1808" s="295"/>
      <c r="Z1808" s="295"/>
      <c r="AA1808" s="295"/>
      <c r="AB1808" s="295"/>
      <c r="AC1808" s="295"/>
      <c r="AD1808" s="295"/>
      <c r="AE1808" s="295"/>
      <c r="AF1808" s="295"/>
      <c r="AG1808" s="295"/>
      <c r="AH1808" s="295"/>
      <c r="AI1808" s="295"/>
      <c r="AJ1808" s="295"/>
    </row>
    <row r="1809" spans="1:36" s="291" customFormat="1" ht="16.2">
      <c r="A1809" s="304"/>
      <c r="B1809" s="289"/>
      <c r="C1809" s="290"/>
      <c r="E1809" s="453"/>
      <c r="G1809" s="454"/>
      <c r="I1809" s="295"/>
      <c r="J1809" s="295"/>
      <c r="K1809" s="295"/>
      <c r="L1809" s="295"/>
      <c r="M1809" s="302"/>
      <c r="N1809" s="302"/>
      <c r="O1809" s="303"/>
      <c r="P1809" s="295"/>
      <c r="Q1809" s="295"/>
      <c r="R1809" s="295"/>
      <c r="S1809" s="295"/>
      <c r="T1809" s="295"/>
      <c r="U1809" s="295"/>
      <c r="V1809" s="295"/>
      <c r="W1809" s="295"/>
      <c r="X1809" s="295"/>
      <c r="Y1809" s="295"/>
      <c r="Z1809" s="295"/>
      <c r="AA1809" s="295"/>
      <c r="AB1809" s="295"/>
      <c r="AC1809" s="295"/>
      <c r="AD1809" s="295"/>
      <c r="AE1809" s="295"/>
      <c r="AF1809" s="295"/>
      <c r="AG1809" s="295"/>
      <c r="AH1809" s="295"/>
      <c r="AI1809" s="295"/>
      <c r="AJ1809" s="295"/>
    </row>
    <row r="1810" spans="1:36" s="291" customFormat="1" ht="16.2">
      <c r="A1810" s="304"/>
      <c r="B1810" s="289"/>
      <c r="C1810" s="290"/>
      <c r="E1810" s="453"/>
      <c r="G1810" s="454"/>
      <c r="I1810" s="295"/>
      <c r="J1810" s="295"/>
      <c r="K1810" s="295"/>
      <c r="L1810" s="295"/>
      <c r="M1810" s="302"/>
      <c r="N1810" s="302"/>
      <c r="O1810" s="303"/>
      <c r="P1810" s="295"/>
      <c r="Q1810" s="295"/>
      <c r="R1810" s="295"/>
      <c r="S1810" s="295"/>
      <c r="T1810" s="295"/>
      <c r="U1810" s="295"/>
      <c r="V1810" s="295"/>
      <c r="W1810" s="295"/>
      <c r="X1810" s="295"/>
      <c r="Y1810" s="295"/>
      <c r="Z1810" s="295"/>
      <c r="AA1810" s="295"/>
      <c r="AB1810" s="295"/>
      <c r="AC1810" s="295"/>
      <c r="AD1810" s="295"/>
      <c r="AE1810" s="295"/>
      <c r="AF1810" s="295"/>
      <c r="AG1810" s="295"/>
      <c r="AH1810" s="295"/>
      <c r="AI1810" s="295"/>
      <c r="AJ1810" s="295"/>
    </row>
    <row r="1811" spans="1:36" s="291" customFormat="1" ht="16.2">
      <c r="A1811" s="304"/>
      <c r="B1811" s="289"/>
      <c r="C1811" s="290"/>
      <c r="E1811" s="453"/>
      <c r="G1811" s="454"/>
      <c r="I1811" s="295"/>
      <c r="J1811" s="295"/>
      <c r="K1811" s="295"/>
      <c r="L1811" s="295"/>
      <c r="M1811" s="302"/>
      <c r="N1811" s="302"/>
      <c r="O1811" s="303"/>
      <c r="P1811" s="295"/>
      <c r="Q1811" s="295"/>
      <c r="R1811" s="295"/>
      <c r="S1811" s="295"/>
      <c r="T1811" s="295"/>
      <c r="U1811" s="295"/>
      <c r="V1811" s="295"/>
      <c r="W1811" s="295"/>
      <c r="X1811" s="295"/>
      <c r="Y1811" s="295"/>
      <c r="Z1811" s="295"/>
      <c r="AA1811" s="295"/>
      <c r="AB1811" s="295"/>
      <c r="AC1811" s="295"/>
      <c r="AD1811" s="295"/>
      <c r="AE1811" s="295"/>
      <c r="AF1811" s="295"/>
      <c r="AG1811" s="295"/>
      <c r="AH1811" s="295"/>
      <c r="AI1811" s="295"/>
      <c r="AJ1811" s="295"/>
    </row>
    <row r="1812" spans="1:36" s="291" customFormat="1" ht="16.2">
      <c r="A1812" s="304"/>
      <c r="B1812" s="289"/>
      <c r="C1812" s="290"/>
      <c r="E1812" s="453"/>
      <c r="G1812" s="454"/>
      <c r="I1812" s="295"/>
      <c r="J1812" s="295"/>
      <c r="K1812" s="295"/>
      <c r="L1812" s="295"/>
      <c r="M1812" s="302"/>
      <c r="N1812" s="302"/>
      <c r="O1812" s="303"/>
      <c r="P1812" s="295"/>
      <c r="Q1812" s="295"/>
      <c r="R1812" s="295"/>
      <c r="S1812" s="295"/>
      <c r="T1812" s="295"/>
      <c r="U1812" s="295"/>
      <c r="V1812" s="295"/>
      <c r="W1812" s="295"/>
      <c r="X1812" s="295"/>
      <c r="Y1812" s="295"/>
      <c r="Z1812" s="295"/>
      <c r="AA1812" s="295"/>
      <c r="AB1812" s="295"/>
      <c r="AC1812" s="295"/>
      <c r="AD1812" s="295"/>
      <c r="AE1812" s="295"/>
      <c r="AF1812" s="295"/>
      <c r="AG1812" s="295"/>
      <c r="AH1812" s="295"/>
      <c r="AI1812" s="295"/>
      <c r="AJ1812" s="295"/>
    </row>
    <row r="1813" spans="1:36" s="291" customFormat="1" ht="16.2">
      <c r="A1813" s="304"/>
      <c r="B1813" s="289"/>
      <c r="C1813" s="290"/>
      <c r="E1813" s="453"/>
      <c r="G1813" s="454"/>
      <c r="I1813" s="295"/>
      <c r="J1813" s="295"/>
      <c r="K1813" s="295"/>
      <c r="L1813" s="295"/>
      <c r="M1813" s="302"/>
      <c r="N1813" s="302"/>
      <c r="O1813" s="303"/>
      <c r="P1813" s="295"/>
      <c r="Q1813" s="295"/>
      <c r="R1813" s="295"/>
      <c r="S1813" s="295"/>
      <c r="T1813" s="295"/>
      <c r="U1813" s="295"/>
      <c r="V1813" s="295"/>
      <c r="W1813" s="295"/>
      <c r="X1813" s="295"/>
      <c r="Y1813" s="295"/>
      <c r="Z1813" s="295"/>
      <c r="AA1813" s="295"/>
      <c r="AB1813" s="295"/>
      <c r="AC1813" s="295"/>
      <c r="AD1813" s="295"/>
      <c r="AE1813" s="295"/>
      <c r="AF1813" s="295"/>
      <c r="AG1813" s="295"/>
      <c r="AH1813" s="295"/>
      <c r="AI1813" s="295"/>
      <c r="AJ1813" s="295"/>
    </row>
    <row r="1814" spans="1:36" s="291" customFormat="1" ht="16.2">
      <c r="A1814" s="304"/>
      <c r="B1814" s="289"/>
      <c r="C1814" s="290"/>
      <c r="E1814" s="453"/>
      <c r="G1814" s="454"/>
      <c r="I1814" s="295"/>
      <c r="J1814" s="295"/>
      <c r="K1814" s="295"/>
      <c r="L1814" s="295"/>
      <c r="M1814" s="302"/>
      <c r="N1814" s="302"/>
      <c r="O1814" s="303"/>
      <c r="P1814" s="295"/>
      <c r="Q1814" s="295"/>
      <c r="R1814" s="295"/>
      <c r="S1814" s="295"/>
      <c r="T1814" s="295"/>
      <c r="U1814" s="295"/>
      <c r="V1814" s="295"/>
      <c r="W1814" s="295"/>
      <c r="X1814" s="295"/>
      <c r="Y1814" s="295"/>
      <c r="Z1814" s="295"/>
      <c r="AA1814" s="295"/>
      <c r="AB1814" s="295"/>
      <c r="AC1814" s="295"/>
      <c r="AD1814" s="295"/>
      <c r="AE1814" s="295"/>
      <c r="AF1814" s="295"/>
      <c r="AG1814" s="295"/>
      <c r="AH1814" s="295"/>
      <c r="AI1814" s="295"/>
      <c r="AJ1814" s="295"/>
    </row>
    <row r="1815" spans="1:36" s="291" customFormat="1" ht="16.2">
      <c r="A1815" s="304"/>
      <c r="B1815" s="289"/>
      <c r="C1815" s="290"/>
      <c r="E1815" s="453"/>
      <c r="G1815" s="454"/>
      <c r="I1815" s="295"/>
      <c r="J1815" s="295"/>
      <c r="K1815" s="295"/>
      <c r="L1815" s="295"/>
      <c r="M1815" s="302"/>
      <c r="N1815" s="302"/>
      <c r="O1815" s="303"/>
      <c r="P1815" s="295"/>
      <c r="Q1815" s="295"/>
      <c r="R1815" s="295"/>
      <c r="S1815" s="295"/>
      <c r="T1815" s="295"/>
      <c r="U1815" s="295"/>
      <c r="V1815" s="295"/>
      <c r="W1815" s="295"/>
      <c r="X1815" s="295"/>
      <c r="Y1815" s="295"/>
      <c r="Z1815" s="295"/>
      <c r="AA1815" s="295"/>
      <c r="AB1815" s="295"/>
      <c r="AC1815" s="295"/>
      <c r="AD1815" s="295"/>
      <c r="AE1815" s="295"/>
      <c r="AF1815" s="295"/>
      <c r="AG1815" s="295"/>
      <c r="AH1815" s="295"/>
      <c r="AI1815" s="295"/>
      <c r="AJ1815" s="295"/>
    </row>
    <row r="1816" spans="1:36" s="291" customFormat="1" ht="16.2">
      <c r="A1816" s="304"/>
      <c r="B1816" s="289"/>
      <c r="C1816" s="290"/>
      <c r="E1816" s="453"/>
      <c r="G1816" s="454"/>
      <c r="I1816" s="295"/>
      <c r="J1816" s="295"/>
      <c r="K1816" s="295"/>
      <c r="L1816" s="295"/>
      <c r="M1816" s="302"/>
      <c r="N1816" s="302"/>
      <c r="O1816" s="303"/>
      <c r="P1816" s="295"/>
      <c r="Q1816" s="295"/>
      <c r="R1816" s="295"/>
      <c r="S1816" s="295"/>
      <c r="T1816" s="295"/>
      <c r="U1816" s="295"/>
      <c r="V1816" s="295"/>
      <c r="W1816" s="295"/>
      <c r="X1816" s="295"/>
      <c r="Y1816" s="295"/>
      <c r="Z1816" s="295"/>
      <c r="AA1816" s="295"/>
      <c r="AB1816" s="295"/>
      <c r="AC1816" s="295"/>
      <c r="AD1816" s="295"/>
      <c r="AE1816" s="295"/>
      <c r="AF1816" s="295"/>
      <c r="AG1816" s="295"/>
      <c r="AH1816" s="295"/>
      <c r="AI1816" s="295"/>
      <c r="AJ1816" s="295"/>
    </row>
    <row r="1817" spans="1:36" s="291" customFormat="1" ht="16.2">
      <c r="A1817" s="304"/>
      <c r="B1817" s="289"/>
      <c r="C1817" s="290"/>
      <c r="E1817" s="453"/>
      <c r="G1817" s="454"/>
      <c r="I1817" s="295"/>
      <c r="J1817" s="295"/>
      <c r="K1817" s="295"/>
      <c r="L1817" s="295"/>
      <c r="M1817" s="302"/>
      <c r="N1817" s="302"/>
      <c r="O1817" s="303"/>
      <c r="P1817" s="295"/>
      <c r="Q1817" s="295"/>
      <c r="R1817" s="295"/>
      <c r="S1817" s="295"/>
      <c r="T1817" s="295"/>
      <c r="U1817" s="295"/>
      <c r="V1817" s="295"/>
      <c r="W1817" s="295"/>
      <c r="X1817" s="295"/>
      <c r="Y1817" s="295"/>
      <c r="Z1817" s="295"/>
      <c r="AA1817" s="295"/>
      <c r="AB1817" s="295"/>
      <c r="AC1817" s="295"/>
      <c r="AD1817" s="295"/>
      <c r="AE1817" s="295"/>
      <c r="AF1817" s="295"/>
      <c r="AG1817" s="295"/>
      <c r="AH1817" s="295"/>
      <c r="AI1817" s="295"/>
      <c r="AJ1817" s="295"/>
    </row>
    <row r="1818" spans="1:36" s="291" customFormat="1" ht="16.2">
      <c r="A1818" s="304"/>
      <c r="B1818" s="289"/>
      <c r="C1818" s="290"/>
      <c r="E1818" s="453"/>
      <c r="G1818" s="454"/>
      <c r="I1818" s="295"/>
      <c r="J1818" s="295"/>
      <c r="K1818" s="295"/>
      <c r="L1818" s="295"/>
      <c r="M1818" s="302"/>
      <c r="N1818" s="302"/>
      <c r="O1818" s="303"/>
      <c r="P1818" s="295"/>
      <c r="Q1818" s="295"/>
      <c r="R1818" s="295"/>
      <c r="S1818" s="295"/>
      <c r="T1818" s="295"/>
      <c r="U1818" s="295"/>
      <c r="V1818" s="295"/>
      <c r="W1818" s="295"/>
      <c r="X1818" s="295"/>
      <c r="Y1818" s="295"/>
      <c r="Z1818" s="295"/>
      <c r="AA1818" s="295"/>
      <c r="AB1818" s="295"/>
      <c r="AC1818" s="295"/>
      <c r="AD1818" s="295"/>
      <c r="AE1818" s="295"/>
      <c r="AF1818" s="295"/>
      <c r="AG1818" s="295"/>
      <c r="AH1818" s="295"/>
      <c r="AI1818" s="295"/>
      <c r="AJ1818" s="295"/>
    </row>
    <row r="1819" spans="1:36" s="291" customFormat="1" ht="16.2">
      <c r="A1819" s="304"/>
      <c r="B1819" s="289"/>
      <c r="C1819" s="290"/>
      <c r="E1819" s="453"/>
      <c r="G1819" s="454"/>
      <c r="I1819" s="295"/>
      <c r="J1819" s="295"/>
      <c r="K1819" s="295"/>
      <c r="L1819" s="295"/>
      <c r="M1819" s="302"/>
      <c r="N1819" s="302"/>
      <c r="O1819" s="303"/>
      <c r="P1819" s="295"/>
      <c r="Q1819" s="295"/>
      <c r="R1819" s="295"/>
      <c r="S1819" s="295"/>
      <c r="T1819" s="295"/>
      <c r="U1819" s="295"/>
      <c r="V1819" s="295"/>
      <c r="W1819" s="295"/>
      <c r="X1819" s="295"/>
      <c r="Y1819" s="295"/>
      <c r="Z1819" s="295"/>
      <c r="AA1819" s="295"/>
      <c r="AB1819" s="295"/>
      <c r="AC1819" s="295"/>
      <c r="AD1819" s="295"/>
      <c r="AE1819" s="295"/>
      <c r="AF1819" s="295"/>
      <c r="AG1819" s="295"/>
      <c r="AH1819" s="295"/>
      <c r="AI1819" s="295"/>
      <c r="AJ1819" s="295"/>
    </row>
    <row r="1820" spans="1:36" s="291" customFormat="1" ht="16.2">
      <c r="A1820" s="304"/>
      <c r="B1820" s="289"/>
      <c r="C1820" s="290"/>
      <c r="E1820" s="453"/>
      <c r="G1820" s="454"/>
      <c r="I1820" s="295"/>
      <c r="J1820" s="295"/>
      <c r="K1820" s="295"/>
      <c r="L1820" s="295"/>
      <c r="M1820" s="302"/>
      <c r="N1820" s="302"/>
      <c r="O1820" s="303"/>
      <c r="P1820" s="295"/>
      <c r="Q1820" s="295"/>
      <c r="R1820" s="295"/>
      <c r="S1820" s="295"/>
      <c r="T1820" s="295"/>
      <c r="U1820" s="295"/>
      <c r="V1820" s="295"/>
      <c r="W1820" s="295"/>
      <c r="X1820" s="295"/>
      <c r="Y1820" s="295"/>
      <c r="Z1820" s="295"/>
      <c r="AA1820" s="295"/>
      <c r="AB1820" s="295"/>
      <c r="AC1820" s="295"/>
      <c r="AD1820" s="295"/>
      <c r="AE1820" s="295"/>
      <c r="AF1820" s="295"/>
      <c r="AG1820" s="295"/>
      <c r="AH1820" s="295"/>
      <c r="AI1820" s="295"/>
      <c r="AJ1820" s="295"/>
    </row>
    <row r="1821" spans="1:36" s="291" customFormat="1" ht="16.2">
      <c r="A1821" s="304"/>
      <c r="B1821" s="289"/>
      <c r="C1821" s="290"/>
      <c r="E1821" s="453"/>
      <c r="G1821" s="454"/>
      <c r="I1821" s="295"/>
      <c r="J1821" s="295"/>
      <c r="K1821" s="295"/>
      <c r="L1821" s="295"/>
      <c r="M1821" s="302"/>
      <c r="N1821" s="302"/>
      <c r="O1821" s="303"/>
      <c r="P1821" s="295"/>
      <c r="Q1821" s="295"/>
      <c r="R1821" s="295"/>
      <c r="S1821" s="295"/>
      <c r="T1821" s="295"/>
      <c r="U1821" s="295"/>
      <c r="V1821" s="295"/>
      <c r="W1821" s="295"/>
      <c r="X1821" s="295"/>
      <c r="Y1821" s="295"/>
      <c r="Z1821" s="295"/>
      <c r="AA1821" s="295"/>
      <c r="AB1821" s="295"/>
      <c r="AC1821" s="295"/>
      <c r="AD1821" s="295"/>
      <c r="AE1821" s="295"/>
      <c r="AF1821" s="295"/>
      <c r="AG1821" s="295"/>
      <c r="AH1821" s="295"/>
      <c r="AI1821" s="295"/>
      <c r="AJ1821" s="295"/>
    </row>
    <row r="1822" spans="1:36" s="291" customFormat="1" ht="16.2">
      <c r="A1822" s="304"/>
      <c r="B1822" s="289"/>
      <c r="C1822" s="290"/>
      <c r="E1822" s="453"/>
      <c r="G1822" s="454"/>
      <c r="I1822" s="295"/>
      <c r="J1822" s="295"/>
      <c r="K1822" s="295"/>
      <c r="L1822" s="295"/>
      <c r="M1822" s="302"/>
      <c r="N1822" s="302"/>
      <c r="O1822" s="303"/>
      <c r="P1822" s="295"/>
      <c r="Q1822" s="295"/>
      <c r="R1822" s="295"/>
      <c r="S1822" s="295"/>
      <c r="T1822" s="295"/>
      <c r="U1822" s="295"/>
      <c r="V1822" s="295"/>
      <c r="W1822" s="295"/>
      <c r="X1822" s="295"/>
      <c r="Y1822" s="295"/>
      <c r="Z1822" s="295"/>
      <c r="AA1822" s="295"/>
      <c r="AB1822" s="295"/>
      <c r="AC1822" s="295"/>
      <c r="AD1822" s="295"/>
      <c r="AE1822" s="295"/>
      <c r="AF1822" s="295"/>
      <c r="AG1822" s="295"/>
      <c r="AH1822" s="295"/>
      <c r="AI1822" s="295"/>
      <c r="AJ1822" s="295"/>
    </row>
    <row r="1823" spans="1:36" s="291" customFormat="1" ht="16.2">
      <c r="A1823" s="304"/>
      <c r="B1823" s="289"/>
      <c r="C1823" s="290"/>
      <c r="E1823" s="453"/>
      <c r="G1823" s="454"/>
      <c r="I1823" s="295"/>
      <c r="J1823" s="295"/>
      <c r="K1823" s="295"/>
      <c r="L1823" s="295"/>
      <c r="M1823" s="302"/>
      <c r="N1823" s="302"/>
      <c r="O1823" s="303"/>
      <c r="P1823" s="295"/>
      <c r="Q1823" s="295"/>
      <c r="R1823" s="295"/>
      <c r="S1823" s="295"/>
      <c r="T1823" s="295"/>
      <c r="U1823" s="295"/>
      <c r="V1823" s="295"/>
      <c r="W1823" s="295"/>
      <c r="X1823" s="295"/>
      <c r="Y1823" s="295"/>
      <c r="Z1823" s="295"/>
      <c r="AA1823" s="295"/>
      <c r="AB1823" s="295"/>
      <c r="AC1823" s="295"/>
      <c r="AD1823" s="295"/>
      <c r="AE1823" s="295"/>
      <c r="AF1823" s="295"/>
      <c r="AG1823" s="295"/>
      <c r="AH1823" s="295"/>
      <c r="AI1823" s="295"/>
      <c r="AJ1823" s="295"/>
    </row>
    <row r="1824" spans="1:36" s="291" customFormat="1" ht="16.2">
      <c r="A1824" s="304"/>
      <c r="B1824" s="289"/>
      <c r="C1824" s="290"/>
      <c r="E1824" s="453"/>
      <c r="G1824" s="454"/>
      <c r="I1824" s="295"/>
      <c r="J1824" s="295"/>
      <c r="K1824" s="295"/>
      <c r="L1824" s="295"/>
      <c r="M1824" s="302"/>
      <c r="N1824" s="302"/>
      <c r="O1824" s="303"/>
      <c r="P1824" s="295"/>
      <c r="Q1824" s="295"/>
      <c r="R1824" s="295"/>
      <c r="S1824" s="295"/>
      <c r="T1824" s="295"/>
      <c r="U1824" s="295"/>
      <c r="V1824" s="295"/>
      <c r="W1824" s="295"/>
      <c r="X1824" s="295"/>
      <c r="Y1824" s="295"/>
      <c r="Z1824" s="295"/>
      <c r="AA1824" s="295"/>
      <c r="AB1824" s="295"/>
      <c r="AC1824" s="295"/>
      <c r="AD1824" s="295"/>
      <c r="AE1824" s="295"/>
      <c r="AF1824" s="295"/>
      <c r="AG1824" s="295"/>
      <c r="AH1824" s="295"/>
      <c r="AI1824" s="295"/>
      <c r="AJ1824" s="295"/>
    </row>
    <row r="1825" spans="1:36" s="291" customFormat="1" ht="16.2">
      <c r="A1825" s="304"/>
      <c r="B1825" s="289"/>
      <c r="C1825" s="290"/>
      <c r="E1825" s="453"/>
      <c r="G1825" s="454"/>
      <c r="I1825" s="295"/>
      <c r="J1825" s="295"/>
      <c r="K1825" s="295"/>
      <c r="L1825" s="295"/>
      <c r="M1825" s="302"/>
      <c r="N1825" s="302"/>
      <c r="O1825" s="303"/>
      <c r="P1825" s="295"/>
      <c r="Q1825" s="295"/>
      <c r="R1825" s="295"/>
      <c r="S1825" s="295"/>
      <c r="T1825" s="295"/>
      <c r="U1825" s="295"/>
      <c r="V1825" s="295"/>
      <c r="W1825" s="295"/>
      <c r="X1825" s="295"/>
      <c r="Y1825" s="295"/>
      <c r="Z1825" s="295"/>
      <c r="AA1825" s="295"/>
      <c r="AB1825" s="295"/>
      <c r="AC1825" s="295"/>
      <c r="AD1825" s="295"/>
      <c r="AE1825" s="295"/>
      <c r="AF1825" s="295"/>
      <c r="AG1825" s="295"/>
      <c r="AH1825" s="295"/>
      <c r="AI1825" s="295"/>
      <c r="AJ1825" s="295"/>
    </row>
    <row r="1826" spans="1:36" s="291" customFormat="1" ht="16.2">
      <c r="A1826" s="304"/>
      <c r="B1826" s="289"/>
      <c r="C1826" s="290"/>
      <c r="E1826" s="453"/>
      <c r="G1826" s="454"/>
      <c r="I1826" s="295"/>
      <c r="J1826" s="295"/>
      <c r="K1826" s="295"/>
      <c r="L1826" s="295"/>
      <c r="M1826" s="302"/>
      <c r="N1826" s="302"/>
      <c r="O1826" s="303"/>
      <c r="P1826" s="295"/>
      <c r="Q1826" s="295"/>
      <c r="R1826" s="295"/>
      <c r="S1826" s="295"/>
      <c r="T1826" s="295"/>
      <c r="U1826" s="295"/>
      <c r="V1826" s="295"/>
      <c r="W1826" s="295"/>
      <c r="X1826" s="295"/>
      <c r="Y1826" s="295"/>
      <c r="Z1826" s="295"/>
      <c r="AA1826" s="295"/>
      <c r="AB1826" s="295"/>
      <c r="AC1826" s="295"/>
      <c r="AD1826" s="295"/>
      <c r="AE1826" s="295"/>
      <c r="AF1826" s="295"/>
      <c r="AG1826" s="295"/>
      <c r="AH1826" s="295"/>
      <c r="AI1826" s="295"/>
      <c r="AJ1826" s="295"/>
    </row>
    <row r="1827" spans="1:36" s="291" customFormat="1" ht="16.2">
      <c r="A1827" s="304"/>
      <c r="B1827" s="289"/>
      <c r="C1827" s="290"/>
      <c r="E1827" s="453"/>
      <c r="G1827" s="454"/>
      <c r="I1827" s="295"/>
      <c r="J1827" s="295"/>
      <c r="K1827" s="295"/>
      <c r="L1827" s="295"/>
      <c r="M1827" s="302"/>
      <c r="N1827" s="302"/>
      <c r="O1827" s="303"/>
      <c r="P1827" s="295"/>
      <c r="Q1827" s="295"/>
      <c r="R1827" s="295"/>
      <c r="S1827" s="295"/>
      <c r="T1827" s="295"/>
      <c r="U1827" s="295"/>
      <c r="V1827" s="295"/>
      <c r="W1827" s="295"/>
      <c r="X1827" s="295"/>
      <c r="Y1827" s="295"/>
      <c r="Z1827" s="295"/>
      <c r="AA1827" s="295"/>
      <c r="AB1827" s="295"/>
      <c r="AC1827" s="295"/>
      <c r="AD1827" s="295"/>
      <c r="AE1827" s="295"/>
      <c r="AF1827" s="295"/>
      <c r="AG1827" s="295"/>
      <c r="AH1827" s="295"/>
      <c r="AI1827" s="295"/>
      <c r="AJ1827" s="295"/>
    </row>
    <row r="1828" spans="1:36" s="291" customFormat="1" ht="16.2">
      <c r="A1828" s="304"/>
      <c r="B1828" s="289"/>
      <c r="C1828" s="290"/>
      <c r="E1828" s="453"/>
      <c r="G1828" s="454"/>
      <c r="I1828" s="295"/>
      <c r="J1828" s="295"/>
      <c r="K1828" s="295"/>
      <c r="L1828" s="295"/>
      <c r="M1828" s="302"/>
      <c r="N1828" s="302"/>
      <c r="O1828" s="303"/>
      <c r="P1828" s="295"/>
      <c r="Q1828" s="295"/>
      <c r="R1828" s="295"/>
      <c r="S1828" s="295"/>
      <c r="T1828" s="295"/>
      <c r="U1828" s="295"/>
      <c r="V1828" s="295"/>
      <c r="W1828" s="295"/>
      <c r="X1828" s="295"/>
      <c r="Y1828" s="295"/>
      <c r="Z1828" s="295"/>
      <c r="AA1828" s="295"/>
      <c r="AB1828" s="295"/>
      <c r="AC1828" s="295"/>
      <c r="AD1828" s="295"/>
      <c r="AE1828" s="295"/>
      <c r="AF1828" s="295"/>
      <c r="AG1828" s="295"/>
      <c r="AH1828" s="295"/>
      <c r="AI1828" s="295"/>
      <c r="AJ1828" s="295"/>
    </row>
    <row r="1829" spans="1:36" s="291" customFormat="1" ht="16.2">
      <c r="A1829" s="304"/>
      <c r="B1829" s="289"/>
      <c r="C1829" s="290"/>
      <c r="E1829" s="453"/>
      <c r="G1829" s="454"/>
      <c r="I1829" s="295"/>
      <c r="J1829" s="295"/>
      <c r="K1829" s="295"/>
      <c r="L1829" s="295"/>
      <c r="M1829" s="302"/>
      <c r="N1829" s="302"/>
      <c r="O1829" s="303"/>
      <c r="P1829" s="295"/>
      <c r="Q1829" s="295"/>
      <c r="R1829" s="295"/>
      <c r="S1829" s="295"/>
      <c r="T1829" s="295"/>
      <c r="U1829" s="295"/>
      <c r="V1829" s="295"/>
      <c r="W1829" s="295"/>
      <c r="X1829" s="295"/>
      <c r="Y1829" s="295"/>
      <c r="Z1829" s="295"/>
      <c r="AA1829" s="295"/>
      <c r="AB1829" s="295"/>
      <c r="AC1829" s="295"/>
      <c r="AD1829" s="295"/>
      <c r="AE1829" s="295"/>
      <c r="AF1829" s="295"/>
      <c r="AG1829" s="295"/>
      <c r="AH1829" s="295"/>
      <c r="AI1829" s="295"/>
      <c r="AJ1829" s="295"/>
    </row>
    <row r="1830" spans="1:36" s="291" customFormat="1" ht="16.2">
      <c r="A1830" s="304"/>
      <c r="B1830" s="289"/>
      <c r="C1830" s="290"/>
      <c r="E1830" s="453"/>
      <c r="G1830" s="454"/>
      <c r="I1830" s="295"/>
      <c r="J1830" s="295"/>
      <c r="K1830" s="295"/>
      <c r="L1830" s="295"/>
      <c r="M1830" s="302"/>
      <c r="N1830" s="302"/>
      <c r="O1830" s="303"/>
      <c r="P1830" s="295"/>
      <c r="Q1830" s="295"/>
      <c r="R1830" s="295"/>
      <c r="S1830" s="295"/>
      <c r="T1830" s="295"/>
      <c r="U1830" s="295"/>
      <c r="V1830" s="295"/>
      <c r="W1830" s="295"/>
      <c r="X1830" s="295"/>
      <c r="Y1830" s="295"/>
      <c r="Z1830" s="295"/>
      <c r="AA1830" s="295"/>
      <c r="AB1830" s="295"/>
      <c r="AC1830" s="295"/>
      <c r="AD1830" s="295"/>
      <c r="AE1830" s="295"/>
      <c r="AF1830" s="295"/>
      <c r="AG1830" s="295"/>
      <c r="AH1830" s="295"/>
      <c r="AI1830" s="295"/>
      <c r="AJ1830" s="295"/>
    </row>
    <row r="1831" spans="1:36" s="291" customFormat="1" ht="16.2">
      <c r="A1831" s="304"/>
      <c r="B1831" s="289"/>
      <c r="C1831" s="290"/>
      <c r="E1831" s="453"/>
      <c r="G1831" s="454"/>
      <c r="I1831" s="295"/>
      <c r="J1831" s="295"/>
      <c r="K1831" s="295"/>
      <c r="L1831" s="295"/>
      <c r="M1831" s="302"/>
      <c r="N1831" s="302"/>
      <c r="O1831" s="303"/>
      <c r="P1831" s="295"/>
      <c r="Q1831" s="295"/>
      <c r="R1831" s="295"/>
      <c r="S1831" s="295"/>
      <c r="T1831" s="295"/>
      <c r="U1831" s="295"/>
      <c r="V1831" s="295"/>
      <c r="W1831" s="295"/>
      <c r="X1831" s="295"/>
      <c r="Y1831" s="295"/>
      <c r="Z1831" s="295"/>
      <c r="AA1831" s="295"/>
      <c r="AB1831" s="295"/>
      <c r="AC1831" s="295"/>
      <c r="AD1831" s="295"/>
      <c r="AE1831" s="295"/>
      <c r="AF1831" s="295"/>
      <c r="AG1831" s="295"/>
      <c r="AH1831" s="295"/>
      <c r="AI1831" s="295"/>
      <c r="AJ1831" s="295"/>
    </row>
    <row r="1832" spans="1:36" s="291" customFormat="1" ht="16.2">
      <c r="A1832" s="304"/>
      <c r="B1832" s="289"/>
      <c r="C1832" s="290"/>
      <c r="E1832" s="453"/>
      <c r="G1832" s="454"/>
      <c r="I1832" s="295"/>
      <c r="J1832" s="295"/>
      <c r="K1832" s="295"/>
      <c r="L1832" s="295"/>
      <c r="M1832" s="302"/>
      <c r="N1832" s="302"/>
      <c r="O1832" s="303"/>
      <c r="P1832" s="295"/>
      <c r="Q1832" s="295"/>
      <c r="R1832" s="295"/>
      <c r="S1832" s="295"/>
      <c r="T1832" s="295"/>
      <c r="U1832" s="295"/>
      <c r="V1832" s="295"/>
      <c r="W1832" s="295"/>
      <c r="X1832" s="295"/>
      <c r="Y1832" s="295"/>
      <c r="Z1832" s="295"/>
      <c r="AA1832" s="295"/>
      <c r="AB1832" s="295"/>
      <c r="AC1832" s="295"/>
      <c r="AD1832" s="295"/>
      <c r="AE1832" s="295"/>
      <c r="AF1832" s="295"/>
      <c r="AG1832" s="295"/>
      <c r="AH1832" s="295"/>
      <c r="AI1832" s="295"/>
      <c r="AJ1832" s="295"/>
    </row>
    <row r="1833" spans="1:36" s="291" customFormat="1" ht="16.2">
      <c r="A1833" s="304"/>
      <c r="B1833" s="289"/>
      <c r="C1833" s="290"/>
      <c r="E1833" s="453"/>
      <c r="G1833" s="454"/>
      <c r="I1833" s="295"/>
      <c r="J1833" s="295"/>
      <c r="K1833" s="295"/>
      <c r="L1833" s="295"/>
      <c r="M1833" s="302"/>
      <c r="N1833" s="302"/>
      <c r="O1833" s="303"/>
      <c r="P1833" s="295"/>
      <c r="Q1833" s="295"/>
      <c r="R1833" s="295"/>
      <c r="S1833" s="295"/>
      <c r="T1833" s="295"/>
      <c r="U1833" s="295"/>
      <c r="V1833" s="295"/>
      <c r="W1833" s="295"/>
      <c r="X1833" s="295"/>
      <c r="Y1833" s="295"/>
      <c r="Z1833" s="295"/>
      <c r="AA1833" s="295"/>
      <c r="AB1833" s="295"/>
      <c r="AC1833" s="295"/>
      <c r="AD1833" s="295"/>
      <c r="AE1833" s="295"/>
      <c r="AF1833" s="295"/>
      <c r="AG1833" s="295"/>
      <c r="AH1833" s="295"/>
      <c r="AI1833" s="295"/>
      <c r="AJ1833" s="295"/>
    </row>
    <row r="1834" spans="1:36" s="291" customFormat="1" ht="16.2">
      <c r="A1834" s="304"/>
      <c r="B1834" s="289"/>
      <c r="C1834" s="290"/>
      <c r="E1834" s="453"/>
      <c r="G1834" s="454"/>
      <c r="I1834" s="295"/>
      <c r="J1834" s="295"/>
      <c r="K1834" s="295"/>
      <c r="L1834" s="295"/>
      <c r="M1834" s="302"/>
      <c r="N1834" s="302"/>
      <c r="O1834" s="303"/>
      <c r="P1834" s="295"/>
      <c r="Q1834" s="295"/>
      <c r="R1834" s="295"/>
      <c r="S1834" s="295"/>
      <c r="T1834" s="295"/>
      <c r="U1834" s="295"/>
      <c r="V1834" s="295"/>
      <c r="W1834" s="295"/>
      <c r="X1834" s="295"/>
      <c r="Y1834" s="295"/>
      <c r="Z1834" s="295"/>
      <c r="AA1834" s="295"/>
      <c r="AB1834" s="295"/>
      <c r="AC1834" s="295"/>
      <c r="AD1834" s="295"/>
      <c r="AE1834" s="295"/>
      <c r="AF1834" s="295"/>
      <c r="AG1834" s="295"/>
      <c r="AH1834" s="295"/>
      <c r="AI1834" s="295"/>
      <c r="AJ1834" s="295"/>
    </row>
    <row r="1835" spans="1:36" s="291" customFormat="1" ht="16.2">
      <c r="A1835" s="304"/>
      <c r="B1835" s="289"/>
      <c r="C1835" s="290"/>
      <c r="E1835" s="453"/>
      <c r="G1835" s="454"/>
      <c r="I1835" s="295"/>
      <c r="J1835" s="295"/>
      <c r="K1835" s="295"/>
      <c r="L1835" s="295"/>
      <c r="M1835" s="302"/>
      <c r="N1835" s="302"/>
      <c r="O1835" s="303"/>
      <c r="P1835" s="295"/>
      <c r="Q1835" s="295"/>
      <c r="R1835" s="295"/>
      <c r="S1835" s="295"/>
      <c r="T1835" s="295"/>
      <c r="U1835" s="295"/>
      <c r="V1835" s="295"/>
      <c r="W1835" s="295"/>
      <c r="X1835" s="295"/>
      <c r="Y1835" s="295"/>
      <c r="Z1835" s="295"/>
      <c r="AA1835" s="295"/>
      <c r="AB1835" s="295"/>
      <c r="AC1835" s="295"/>
      <c r="AD1835" s="295"/>
      <c r="AE1835" s="295"/>
      <c r="AF1835" s="295"/>
      <c r="AG1835" s="295"/>
      <c r="AH1835" s="295"/>
      <c r="AI1835" s="295"/>
      <c r="AJ1835" s="295"/>
    </row>
    <row r="1836" spans="1:36" s="291" customFormat="1" ht="16.2">
      <c r="A1836" s="304"/>
      <c r="B1836" s="289"/>
      <c r="C1836" s="290"/>
      <c r="E1836" s="453"/>
      <c r="G1836" s="454"/>
      <c r="I1836" s="295"/>
      <c r="J1836" s="295"/>
      <c r="K1836" s="295"/>
      <c r="L1836" s="295"/>
      <c r="M1836" s="302"/>
      <c r="N1836" s="302"/>
      <c r="O1836" s="303"/>
      <c r="P1836" s="295"/>
      <c r="Q1836" s="295"/>
      <c r="R1836" s="295"/>
      <c r="S1836" s="295"/>
      <c r="T1836" s="295"/>
      <c r="U1836" s="295"/>
      <c r="V1836" s="295"/>
      <c r="W1836" s="295"/>
      <c r="X1836" s="295"/>
      <c r="Y1836" s="295"/>
      <c r="Z1836" s="295"/>
      <c r="AA1836" s="295"/>
      <c r="AB1836" s="295"/>
      <c r="AC1836" s="295"/>
      <c r="AD1836" s="295"/>
      <c r="AE1836" s="295"/>
      <c r="AF1836" s="295"/>
      <c r="AG1836" s="295"/>
      <c r="AH1836" s="295"/>
      <c r="AI1836" s="295"/>
      <c r="AJ1836" s="295"/>
    </row>
    <row r="1837" spans="1:36" s="291" customFormat="1" ht="16.2">
      <c r="A1837" s="304"/>
      <c r="B1837" s="289"/>
      <c r="C1837" s="290"/>
      <c r="E1837" s="453"/>
      <c r="G1837" s="454"/>
      <c r="I1837" s="295"/>
      <c r="J1837" s="295"/>
      <c r="K1837" s="295"/>
      <c r="L1837" s="295"/>
      <c r="M1837" s="302"/>
      <c r="N1837" s="302"/>
      <c r="O1837" s="303"/>
      <c r="P1837" s="295"/>
      <c r="Q1837" s="295"/>
      <c r="R1837" s="295"/>
      <c r="S1837" s="295"/>
      <c r="T1837" s="295"/>
      <c r="U1837" s="295"/>
      <c r="V1837" s="295"/>
      <c r="W1837" s="295"/>
      <c r="X1837" s="295"/>
      <c r="Y1837" s="295"/>
      <c r="Z1837" s="295"/>
      <c r="AA1837" s="295"/>
      <c r="AB1837" s="295"/>
      <c r="AC1837" s="295"/>
      <c r="AD1837" s="295"/>
      <c r="AE1837" s="295"/>
      <c r="AF1837" s="295"/>
      <c r="AG1837" s="295"/>
      <c r="AH1837" s="295"/>
      <c r="AI1837" s="295"/>
      <c r="AJ1837" s="295"/>
    </row>
    <row r="1838" spans="1:36" s="291" customFormat="1" ht="16.2">
      <c r="A1838" s="304"/>
      <c r="B1838" s="289"/>
      <c r="C1838" s="290"/>
      <c r="E1838" s="453"/>
      <c r="G1838" s="454"/>
      <c r="I1838" s="295"/>
      <c r="J1838" s="295"/>
      <c r="K1838" s="295"/>
      <c r="L1838" s="295"/>
      <c r="M1838" s="302"/>
      <c r="N1838" s="302"/>
      <c r="O1838" s="303"/>
      <c r="P1838" s="295"/>
      <c r="Q1838" s="295"/>
      <c r="R1838" s="295"/>
      <c r="S1838" s="295"/>
      <c r="T1838" s="295"/>
      <c r="U1838" s="295"/>
      <c r="V1838" s="295"/>
      <c r="W1838" s="295"/>
      <c r="X1838" s="295"/>
      <c r="Y1838" s="295"/>
      <c r="Z1838" s="295"/>
      <c r="AA1838" s="295"/>
      <c r="AB1838" s="295"/>
      <c r="AC1838" s="295"/>
      <c r="AD1838" s="295"/>
      <c r="AE1838" s="295"/>
      <c r="AF1838" s="295"/>
      <c r="AG1838" s="295"/>
      <c r="AH1838" s="295"/>
      <c r="AI1838" s="295"/>
      <c r="AJ1838" s="295"/>
    </row>
    <row r="1839" spans="1:36" s="291" customFormat="1" ht="16.2">
      <c r="A1839" s="304"/>
      <c r="B1839" s="289"/>
      <c r="C1839" s="290"/>
      <c r="E1839" s="453"/>
      <c r="G1839" s="454"/>
      <c r="I1839" s="295"/>
      <c r="J1839" s="295"/>
      <c r="K1839" s="295"/>
      <c r="L1839" s="295"/>
      <c r="M1839" s="302"/>
      <c r="N1839" s="302"/>
      <c r="O1839" s="303"/>
      <c r="P1839" s="295"/>
      <c r="Q1839" s="295"/>
      <c r="R1839" s="295"/>
      <c r="S1839" s="295"/>
      <c r="T1839" s="295"/>
      <c r="U1839" s="295"/>
      <c r="V1839" s="295"/>
      <c r="W1839" s="295"/>
      <c r="X1839" s="295"/>
      <c r="Y1839" s="295"/>
      <c r="Z1839" s="295"/>
      <c r="AA1839" s="295"/>
      <c r="AB1839" s="295"/>
      <c r="AC1839" s="295"/>
      <c r="AD1839" s="295"/>
      <c r="AE1839" s="295"/>
      <c r="AF1839" s="295"/>
      <c r="AG1839" s="295"/>
      <c r="AH1839" s="295"/>
      <c r="AI1839" s="295"/>
      <c r="AJ1839" s="295"/>
    </row>
    <row r="1840" spans="1:36" s="291" customFormat="1" ht="16.2">
      <c r="A1840" s="304"/>
      <c r="B1840" s="289"/>
      <c r="C1840" s="290"/>
      <c r="E1840" s="453"/>
      <c r="G1840" s="454"/>
      <c r="I1840" s="295"/>
      <c r="J1840" s="295"/>
      <c r="K1840" s="295"/>
      <c r="L1840" s="295"/>
      <c r="M1840" s="302"/>
      <c r="N1840" s="302"/>
      <c r="O1840" s="303"/>
      <c r="P1840" s="295"/>
      <c r="Q1840" s="295"/>
      <c r="R1840" s="295"/>
      <c r="S1840" s="295"/>
      <c r="T1840" s="295"/>
      <c r="U1840" s="295"/>
      <c r="V1840" s="295"/>
      <c r="W1840" s="295"/>
      <c r="X1840" s="295"/>
      <c r="Y1840" s="295"/>
      <c r="Z1840" s="295"/>
      <c r="AA1840" s="295"/>
      <c r="AB1840" s="295"/>
      <c r="AC1840" s="295"/>
      <c r="AD1840" s="295"/>
      <c r="AE1840" s="295"/>
      <c r="AF1840" s="295"/>
      <c r="AG1840" s="295"/>
      <c r="AH1840" s="295"/>
      <c r="AI1840" s="295"/>
      <c r="AJ1840" s="295"/>
    </row>
    <row r="1841" spans="1:36" s="291" customFormat="1" ht="16.2">
      <c r="A1841" s="304"/>
      <c r="B1841" s="289"/>
      <c r="C1841" s="290"/>
      <c r="E1841" s="453"/>
      <c r="G1841" s="454"/>
      <c r="I1841" s="295"/>
      <c r="J1841" s="295"/>
      <c r="K1841" s="295"/>
      <c r="L1841" s="295"/>
      <c r="M1841" s="302"/>
      <c r="N1841" s="302"/>
      <c r="O1841" s="303"/>
      <c r="P1841" s="295"/>
      <c r="Q1841" s="295"/>
      <c r="R1841" s="295"/>
      <c r="S1841" s="295"/>
      <c r="T1841" s="295"/>
      <c r="U1841" s="295"/>
      <c r="V1841" s="295"/>
      <c r="W1841" s="295"/>
      <c r="X1841" s="295"/>
      <c r="Y1841" s="295"/>
      <c r="Z1841" s="295"/>
      <c r="AA1841" s="295"/>
      <c r="AB1841" s="295"/>
      <c r="AC1841" s="295"/>
      <c r="AD1841" s="295"/>
      <c r="AE1841" s="295"/>
      <c r="AF1841" s="295"/>
      <c r="AG1841" s="295"/>
      <c r="AH1841" s="295"/>
      <c r="AI1841" s="295"/>
      <c r="AJ1841" s="295"/>
    </row>
    <row r="1842" spans="1:36" s="291" customFormat="1" ht="16.2">
      <c r="A1842" s="304"/>
      <c r="B1842" s="289"/>
      <c r="C1842" s="290"/>
      <c r="E1842" s="453"/>
      <c r="G1842" s="454"/>
      <c r="I1842" s="295"/>
      <c r="J1842" s="295"/>
      <c r="K1842" s="295"/>
      <c r="L1842" s="295"/>
      <c r="M1842" s="302"/>
      <c r="N1842" s="302"/>
      <c r="O1842" s="303"/>
      <c r="P1842" s="295"/>
      <c r="Q1842" s="295"/>
      <c r="R1842" s="295"/>
      <c r="S1842" s="295"/>
      <c r="T1842" s="295"/>
      <c r="U1842" s="295"/>
      <c r="V1842" s="295"/>
      <c r="W1842" s="295"/>
      <c r="X1842" s="295"/>
      <c r="Y1842" s="295"/>
      <c r="Z1842" s="295"/>
      <c r="AA1842" s="295"/>
      <c r="AB1842" s="295"/>
      <c r="AC1842" s="295"/>
      <c r="AD1842" s="295"/>
      <c r="AE1842" s="295"/>
      <c r="AF1842" s="295"/>
      <c r="AG1842" s="295"/>
      <c r="AH1842" s="295"/>
      <c r="AI1842" s="295"/>
      <c r="AJ1842" s="295"/>
    </row>
    <row r="1843" spans="1:36" s="291" customFormat="1" ht="16.2">
      <c r="A1843" s="304"/>
      <c r="B1843" s="289"/>
      <c r="C1843" s="290"/>
      <c r="E1843" s="453"/>
      <c r="G1843" s="454"/>
      <c r="I1843" s="295"/>
      <c r="J1843" s="295"/>
      <c r="K1843" s="295"/>
      <c r="L1843" s="295"/>
      <c r="M1843" s="302"/>
      <c r="N1843" s="302"/>
      <c r="O1843" s="303"/>
      <c r="P1843" s="295"/>
      <c r="Q1843" s="295"/>
      <c r="R1843" s="295"/>
      <c r="S1843" s="295"/>
      <c r="T1843" s="295"/>
      <c r="U1843" s="295"/>
      <c r="V1843" s="295"/>
      <c r="W1843" s="295"/>
      <c r="X1843" s="295"/>
      <c r="Y1843" s="295"/>
      <c r="Z1843" s="295"/>
      <c r="AA1843" s="295"/>
      <c r="AB1843" s="295"/>
      <c r="AC1843" s="295"/>
      <c r="AD1843" s="295"/>
      <c r="AE1843" s="295"/>
      <c r="AF1843" s="295"/>
      <c r="AG1843" s="295"/>
      <c r="AH1843" s="295"/>
      <c r="AI1843" s="295"/>
      <c r="AJ1843" s="295"/>
    </row>
    <row r="1844" spans="1:36" s="291" customFormat="1" ht="16.2">
      <c r="A1844" s="304"/>
      <c r="B1844" s="289"/>
      <c r="C1844" s="290"/>
      <c r="E1844" s="453"/>
      <c r="G1844" s="454"/>
      <c r="I1844" s="295"/>
      <c r="J1844" s="295"/>
      <c r="K1844" s="295"/>
      <c r="L1844" s="295"/>
      <c r="M1844" s="302"/>
      <c r="N1844" s="302"/>
      <c r="O1844" s="303"/>
      <c r="P1844" s="295"/>
      <c r="Q1844" s="295"/>
      <c r="R1844" s="295"/>
      <c r="S1844" s="295"/>
      <c r="T1844" s="295"/>
      <c r="U1844" s="295"/>
      <c r="V1844" s="295"/>
      <c r="W1844" s="295"/>
      <c r="X1844" s="295"/>
      <c r="Y1844" s="295"/>
      <c r="Z1844" s="295"/>
      <c r="AA1844" s="295"/>
      <c r="AB1844" s="295"/>
      <c r="AC1844" s="295"/>
      <c r="AD1844" s="295"/>
      <c r="AE1844" s="295"/>
      <c r="AF1844" s="295"/>
      <c r="AG1844" s="295"/>
      <c r="AH1844" s="295"/>
      <c r="AI1844" s="295"/>
      <c r="AJ1844" s="295"/>
    </row>
    <row r="1845" spans="1:36" s="291" customFormat="1" ht="16.2">
      <c r="A1845" s="304"/>
      <c r="B1845" s="289"/>
      <c r="C1845" s="290"/>
      <c r="E1845" s="453"/>
      <c r="G1845" s="454"/>
      <c r="I1845" s="295"/>
      <c r="J1845" s="295"/>
      <c r="K1845" s="295"/>
      <c r="L1845" s="295"/>
      <c r="M1845" s="302"/>
      <c r="N1845" s="302"/>
      <c r="O1845" s="303"/>
      <c r="P1845" s="295"/>
      <c r="Q1845" s="295"/>
      <c r="R1845" s="295"/>
      <c r="S1845" s="295"/>
      <c r="T1845" s="295"/>
      <c r="U1845" s="295"/>
      <c r="V1845" s="295"/>
      <c r="W1845" s="295"/>
      <c r="X1845" s="295"/>
      <c r="Y1845" s="295"/>
      <c r="Z1845" s="295"/>
      <c r="AA1845" s="295"/>
      <c r="AB1845" s="295"/>
      <c r="AC1845" s="295"/>
      <c r="AD1845" s="295"/>
      <c r="AE1845" s="295"/>
      <c r="AF1845" s="295"/>
      <c r="AG1845" s="295"/>
      <c r="AH1845" s="295"/>
      <c r="AI1845" s="295"/>
      <c r="AJ1845" s="295"/>
    </row>
    <row r="1846" spans="1:36" s="291" customFormat="1" ht="16.2">
      <c r="A1846" s="304"/>
      <c r="B1846" s="289"/>
      <c r="C1846" s="290"/>
      <c r="E1846" s="453"/>
      <c r="G1846" s="454"/>
      <c r="I1846" s="295"/>
      <c r="J1846" s="295"/>
      <c r="K1846" s="295"/>
      <c r="L1846" s="295"/>
      <c r="M1846" s="302"/>
      <c r="N1846" s="302"/>
      <c r="O1846" s="303"/>
      <c r="P1846" s="295"/>
      <c r="Q1846" s="295"/>
      <c r="R1846" s="295"/>
      <c r="S1846" s="295"/>
      <c r="T1846" s="295"/>
      <c r="U1846" s="295"/>
      <c r="V1846" s="295"/>
      <c r="W1846" s="295"/>
      <c r="X1846" s="295"/>
      <c r="Y1846" s="295"/>
      <c r="Z1846" s="295"/>
      <c r="AA1846" s="295"/>
      <c r="AB1846" s="295"/>
      <c r="AC1846" s="295"/>
      <c r="AD1846" s="295"/>
      <c r="AE1846" s="295"/>
      <c r="AF1846" s="295"/>
      <c r="AG1846" s="295"/>
      <c r="AH1846" s="295"/>
      <c r="AI1846" s="295"/>
      <c r="AJ1846" s="295"/>
    </row>
    <row r="1847" spans="1:36" s="291" customFormat="1" ht="16.2">
      <c r="A1847" s="304"/>
      <c r="B1847" s="289"/>
      <c r="C1847" s="290"/>
      <c r="E1847" s="453"/>
      <c r="G1847" s="454"/>
      <c r="I1847" s="295"/>
      <c r="J1847" s="295"/>
      <c r="K1847" s="295"/>
      <c r="L1847" s="295"/>
      <c r="M1847" s="302"/>
      <c r="N1847" s="302"/>
      <c r="O1847" s="303"/>
      <c r="P1847" s="295"/>
      <c r="Q1847" s="295"/>
      <c r="R1847" s="295"/>
      <c r="S1847" s="295"/>
      <c r="T1847" s="295"/>
      <c r="U1847" s="295"/>
      <c r="V1847" s="295"/>
      <c r="W1847" s="295"/>
      <c r="X1847" s="295"/>
      <c r="Y1847" s="295"/>
      <c r="Z1847" s="295"/>
      <c r="AA1847" s="295"/>
      <c r="AB1847" s="295"/>
      <c r="AC1847" s="295"/>
      <c r="AD1847" s="295"/>
      <c r="AE1847" s="295"/>
      <c r="AF1847" s="295"/>
      <c r="AG1847" s="295"/>
      <c r="AH1847" s="295"/>
      <c r="AI1847" s="295"/>
      <c r="AJ1847" s="295"/>
    </row>
    <row r="1848" spans="1:36" s="291" customFormat="1" ht="16.2">
      <c r="A1848" s="304"/>
      <c r="B1848" s="289"/>
      <c r="C1848" s="290"/>
      <c r="E1848" s="453"/>
      <c r="G1848" s="454"/>
      <c r="I1848" s="295"/>
      <c r="J1848" s="295"/>
      <c r="K1848" s="295"/>
      <c r="L1848" s="295"/>
      <c r="M1848" s="302"/>
      <c r="N1848" s="302"/>
      <c r="O1848" s="303"/>
      <c r="P1848" s="295"/>
      <c r="Q1848" s="295"/>
      <c r="R1848" s="295"/>
      <c r="S1848" s="295"/>
      <c r="T1848" s="295"/>
      <c r="U1848" s="295"/>
      <c r="V1848" s="295"/>
      <c r="W1848" s="295"/>
      <c r="X1848" s="295"/>
      <c r="Y1848" s="295"/>
      <c r="Z1848" s="295"/>
      <c r="AA1848" s="295"/>
      <c r="AB1848" s="295"/>
      <c r="AC1848" s="295"/>
      <c r="AD1848" s="295"/>
      <c r="AE1848" s="295"/>
      <c r="AF1848" s="295"/>
      <c r="AG1848" s="295"/>
      <c r="AH1848" s="295"/>
      <c r="AI1848" s="295"/>
      <c r="AJ1848" s="295"/>
    </row>
    <row r="1849" spans="1:36" s="291" customFormat="1" ht="16.2">
      <c r="A1849" s="304"/>
      <c r="B1849" s="289"/>
      <c r="C1849" s="290"/>
      <c r="E1849" s="453"/>
      <c r="G1849" s="454"/>
      <c r="I1849" s="295"/>
      <c r="J1849" s="295"/>
      <c r="K1849" s="295"/>
      <c r="L1849" s="295"/>
      <c r="M1849" s="302"/>
      <c r="N1849" s="302"/>
      <c r="O1849" s="303"/>
      <c r="P1849" s="295"/>
      <c r="Q1849" s="295"/>
      <c r="R1849" s="295"/>
      <c r="S1849" s="295"/>
      <c r="T1849" s="295"/>
      <c r="U1849" s="295"/>
      <c r="V1849" s="295"/>
      <c r="W1849" s="295"/>
      <c r="X1849" s="295"/>
      <c r="Y1849" s="295"/>
      <c r="Z1849" s="295"/>
      <c r="AA1849" s="295"/>
      <c r="AB1849" s="295"/>
      <c r="AC1849" s="295"/>
      <c r="AD1849" s="295"/>
      <c r="AE1849" s="295"/>
      <c r="AF1849" s="295"/>
      <c r="AG1849" s="295"/>
      <c r="AH1849" s="295"/>
      <c r="AI1849" s="295"/>
      <c r="AJ1849" s="295"/>
    </row>
    <row r="1850" spans="1:36" s="291" customFormat="1" ht="16.2">
      <c r="A1850" s="304"/>
      <c r="B1850" s="289"/>
      <c r="C1850" s="290"/>
      <c r="E1850" s="453"/>
      <c r="G1850" s="454"/>
      <c r="I1850" s="295"/>
      <c r="J1850" s="295"/>
      <c r="K1850" s="295"/>
      <c r="L1850" s="295"/>
      <c r="M1850" s="302"/>
      <c r="N1850" s="302"/>
      <c r="O1850" s="303"/>
      <c r="P1850" s="295"/>
      <c r="Q1850" s="295"/>
      <c r="R1850" s="295"/>
      <c r="S1850" s="295"/>
      <c r="T1850" s="295"/>
      <c r="U1850" s="295"/>
      <c r="V1850" s="295"/>
      <c r="W1850" s="295"/>
      <c r="X1850" s="295"/>
      <c r="Y1850" s="295"/>
      <c r="Z1850" s="295"/>
      <c r="AA1850" s="295"/>
      <c r="AB1850" s="295"/>
      <c r="AC1850" s="295"/>
      <c r="AD1850" s="295"/>
      <c r="AE1850" s="295"/>
      <c r="AF1850" s="295"/>
      <c r="AG1850" s="295"/>
      <c r="AH1850" s="295"/>
      <c r="AI1850" s="295"/>
      <c r="AJ1850" s="295"/>
    </row>
    <row r="1851" spans="1:36" s="291" customFormat="1" ht="16.2">
      <c r="A1851" s="304"/>
      <c r="B1851" s="289"/>
      <c r="C1851" s="290"/>
      <c r="E1851" s="453"/>
      <c r="G1851" s="454"/>
      <c r="I1851" s="295"/>
      <c r="J1851" s="295"/>
      <c r="K1851" s="295"/>
      <c r="L1851" s="295"/>
      <c r="M1851" s="302"/>
      <c r="N1851" s="302"/>
      <c r="O1851" s="303"/>
      <c r="P1851" s="295"/>
      <c r="Q1851" s="295"/>
      <c r="R1851" s="295"/>
      <c r="S1851" s="295"/>
      <c r="T1851" s="295"/>
      <c r="U1851" s="295"/>
      <c r="V1851" s="295"/>
      <c r="W1851" s="295"/>
      <c r="X1851" s="295"/>
      <c r="Y1851" s="295"/>
      <c r="Z1851" s="295"/>
      <c r="AA1851" s="295"/>
      <c r="AB1851" s="295"/>
      <c r="AC1851" s="295"/>
      <c r="AD1851" s="295"/>
      <c r="AE1851" s="295"/>
      <c r="AF1851" s="295"/>
      <c r="AG1851" s="295"/>
      <c r="AH1851" s="295"/>
      <c r="AI1851" s="295"/>
      <c r="AJ1851" s="295"/>
    </row>
    <row r="1852" spans="1:36" s="291" customFormat="1" ht="16.2">
      <c r="A1852" s="304"/>
      <c r="B1852" s="289"/>
      <c r="C1852" s="290"/>
      <c r="E1852" s="453"/>
      <c r="G1852" s="454"/>
      <c r="I1852" s="295"/>
      <c r="J1852" s="295"/>
      <c r="K1852" s="295"/>
      <c r="L1852" s="295"/>
      <c r="M1852" s="302"/>
      <c r="N1852" s="302"/>
      <c r="O1852" s="303"/>
      <c r="P1852" s="295"/>
      <c r="Q1852" s="295"/>
      <c r="R1852" s="295"/>
      <c r="S1852" s="295"/>
      <c r="T1852" s="295"/>
      <c r="U1852" s="295"/>
      <c r="V1852" s="295"/>
      <c r="W1852" s="295"/>
      <c r="X1852" s="295"/>
      <c r="Y1852" s="295"/>
      <c r="Z1852" s="295"/>
      <c r="AA1852" s="295"/>
      <c r="AB1852" s="295"/>
      <c r="AC1852" s="295"/>
      <c r="AD1852" s="295"/>
      <c r="AE1852" s="295"/>
      <c r="AF1852" s="295"/>
      <c r="AG1852" s="295"/>
      <c r="AH1852" s="295"/>
      <c r="AI1852" s="295"/>
      <c r="AJ1852" s="295"/>
    </row>
    <row r="1853" spans="1:36" s="291" customFormat="1" ht="16.2">
      <c r="A1853" s="304"/>
      <c r="B1853" s="289"/>
      <c r="C1853" s="290"/>
      <c r="E1853" s="453"/>
      <c r="G1853" s="454"/>
      <c r="I1853" s="295"/>
      <c r="J1853" s="295"/>
      <c r="K1853" s="295"/>
      <c r="L1853" s="295"/>
      <c r="M1853" s="302"/>
      <c r="N1853" s="302"/>
      <c r="O1853" s="303"/>
      <c r="P1853" s="295"/>
      <c r="Q1853" s="295"/>
      <c r="R1853" s="295"/>
      <c r="S1853" s="295"/>
      <c r="T1853" s="295"/>
      <c r="U1853" s="295"/>
      <c r="V1853" s="295"/>
      <c r="W1853" s="295"/>
      <c r="X1853" s="295"/>
      <c r="Y1853" s="295"/>
      <c r="Z1853" s="295"/>
      <c r="AA1853" s="295"/>
      <c r="AB1853" s="295"/>
      <c r="AC1853" s="295"/>
      <c r="AD1853" s="295"/>
      <c r="AE1853" s="295"/>
      <c r="AF1853" s="295"/>
      <c r="AG1853" s="295"/>
      <c r="AH1853" s="295"/>
      <c r="AI1853" s="295"/>
      <c r="AJ1853" s="295"/>
    </row>
    <row r="1854" spans="1:36" s="291" customFormat="1" ht="16.2">
      <c r="A1854" s="304"/>
      <c r="B1854" s="289"/>
      <c r="C1854" s="290"/>
      <c r="E1854" s="453"/>
      <c r="G1854" s="454"/>
      <c r="I1854" s="295"/>
      <c r="J1854" s="295"/>
      <c r="K1854" s="295"/>
      <c r="L1854" s="295"/>
      <c r="M1854" s="302"/>
      <c r="N1854" s="302"/>
      <c r="O1854" s="303"/>
      <c r="P1854" s="295"/>
      <c r="Q1854" s="295"/>
      <c r="R1854" s="295"/>
      <c r="S1854" s="295"/>
      <c r="T1854" s="295"/>
      <c r="U1854" s="295"/>
      <c r="V1854" s="295"/>
      <c r="W1854" s="295"/>
      <c r="X1854" s="295"/>
      <c r="Y1854" s="295"/>
      <c r="Z1854" s="295"/>
      <c r="AA1854" s="295"/>
      <c r="AB1854" s="295"/>
      <c r="AC1854" s="295"/>
      <c r="AD1854" s="295"/>
      <c r="AE1854" s="295"/>
      <c r="AF1854" s="295"/>
      <c r="AG1854" s="295"/>
      <c r="AH1854" s="295"/>
      <c r="AI1854" s="295"/>
      <c r="AJ1854" s="295"/>
    </row>
    <row r="1855" spans="1:36" s="291" customFormat="1" ht="16.2">
      <c r="A1855" s="304"/>
      <c r="B1855" s="289"/>
      <c r="C1855" s="290"/>
      <c r="E1855" s="453"/>
      <c r="G1855" s="454"/>
      <c r="I1855" s="295"/>
      <c r="J1855" s="295"/>
      <c r="K1855" s="295"/>
      <c r="L1855" s="295"/>
      <c r="M1855" s="302"/>
      <c r="N1855" s="302"/>
      <c r="O1855" s="303"/>
      <c r="P1855" s="295"/>
      <c r="Q1855" s="295"/>
      <c r="R1855" s="295"/>
      <c r="S1855" s="295"/>
      <c r="T1855" s="295"/>
      <c r="U1855" s="295"/>
      <c r="V1855" s="295"/>
      <c r="W1855" s="295"/>
      <c r="X1855" s="295"/>
      <c r="Y1855" s="295"/>
      <c r="Z1855" s="295"/>
      <c r="AA1855" s="295"/>
      <c r="AB1855" s="295"/>
      <c r="AC1855" s="295"/>
      <c r="AD1855" s="295"/>
      <c r="AE1855" s="295"/>
      <c r="AF1855" s="295"/>
      <c r="AG1855" s="295"/>
      <c r="AH1855" s="295"/>
      <c r="AI1855" s="295"/>
      <c r="AJ1855" s="295"/>
    </row>
    <row r="1856" spans="1:36" s="291" customFormat="1" ht="16.2">
      <c r="A1856" s="304"/>
      <c r="B1856" s="289"/>
      <c r="C1856" s="290"/>
      <c r="E1856" s="453"/>
      <c r="G1856" s="454"/>
      <c r="I1856" s="295"/>
      <c r="J1856" s="295"/>
      <c r="K1856" s="295"/>
      <c r="L1856" s="295"/>
      <c r="M1856" s="302"/>
      <c r="N1856" s="302"/>
      <c r="O1856" s="303"/>
      <c r="P1856" s="295"/>
      <c r="Q1856" s="295"/>
      <c r="R1856" s="295"/>
      <c r="S1856" s="295"/>
      <c r="T1856" s="295"/>
      <c r="U1856" s="295"/>
      <c r="V1856" s="295"/>
      <c r="W1856" s="295"/>
      <c r="X1856" s="295"/>
      <c r="Y1856" s="295"/>
      <c r="Z1856" s="295"/>
      <c r="AA1856" s="295"/>
      <c r="AB1856" s="295"/>
      <c r="AC1856" s="295"/>
      <c r="AD1856" s="295"/>
      <c r="AE1856" s="295"/>
      <c r="AF1856" s="295"/>
      <c r="AG1856" s="295"/>
      <c r="AH1856" s="295"/>
      <c r="AI1856" s="295"/>
      <c r="AJ1856" s="295"/>
    </row>
    <row r="1857" spans="1:36" s="291" customFormat="1" ht="16.2">
      <c r="A1857" s="304"/>
      <c r="B1857" s="289"/>
      <c r="C1857" s="290"/>
      <c r="E1857" s="453"/>
      <c r="G1857" s="454"/>
      <c r="I1857" s="295"/>
      <c r="J1857" s="295"/>
      <c r="K1857" s="295"/>
      <c r="L1857" s="295"/>
      <c r="M1857" s="302"/>
      <c r="N1857" s="302"/>
      <c r="O1857" s="303"/>
      <c r="P1857" s="295"/>
      <c r="Q1857" s="295"/>
      <c r="R1857" s="295"/>
      <c r="S1857" s="295"/>
      <c r="T1857" s="295"/>
      <c r="U1857" s="295"/>
      <c r="V1857" s="295"/>
      <c r="W1857" s="295"/>
      <c r="X1857" s="295"/>
      <c r="Y1857" s="295"/>
      <c r="Z1857" s="295"/>
      <c r="AA1857" s="295"/>
      <c r="AB1857" s="295"/>
      <c r="AC1857" s="295"/>
      <c r="AD1857" s="295"/>
      <c r="AE1857" s="295"/>
      <c r="AF1857" s="295"/>
      <c r="AG1857" s="295"/>
      <c r="AH1857" s="295"/>
      <c r="AI1857" s="295"/>
      <c r="AJ1857" s="295"/>
    </row>
    <row r="1858" spans="1:36" s="291" customFormat="1" ht="16.2">
      <c r="A1858" s="304"/>
      <c r="B1858" s="289"/>
      <c r="C1858" s="290"/>
      <c r="E1858" s="453"/>
      <c r="G1858" s="454"/>
      <c r="I1858" s="295"/>
      <c r="J1858" s="295"/>
      <c r="K1858" s="295"/>
      <c r="L1858" s="295"/>
      <c r="M1858" s="302"/>
      <c r="N1858" s="302"/>
      <c r="O1858" s="303"/>
      <c r="P1858" s="295"/>
      <c r="Q1858" s="295"/>
      <c r="R1858" s="295"/>
      <c r="S1858" s="295"/>
      <c r="T1858" s="295"/>
      <c r="U1858" s="295"/>
      <c r="V1858" s="295"/>
      <c r="W1858" s="295"/>
      <c r="X1858" s="295"/>
      <c r="Y1858" s="295"/>
      <c r="Z1858" s="295"/>
      <c r="AA1858" s="295"/>
      <c r="AB1858" s="295"/>
      <c r="AC1858" s="295"/>
      <c r="AD1858" s="295"/>
      <c r="AE1858" s="295"/>
      <c r="AF1858" s="295"/>
      <c r="AG1858" s="295"/>
      <c r="AH1858" s="295"/>
      <c r="AI1858" s="295"/>
      <c r="AJ1858" s="295"/>
    </row>
    <row r="1859" spans="1:36" s="291" customFormat="1" ht="16.2">
      <c r="A1859" s="304"/>
      <c r="B1859" s="289"/>
      <c r="C1859" s="290"/>
      <c r="E1859" s="453"/>
      <c r="G1859" s="454"/>
      <c r="I1859" s="295"/>
      <c r="J1859" s="295"/>
      <c r="K1859" s="295"/>
      <c r="L1859" s="295"/>
      <c r="M1859" s="302"/>
      <c r="N1859" s="302"/>
      <c r="O1859" s="303"/>
      <c r="P1859" s="295"/>
      <c r="Q1859" s="295"/>
      <c r="R1859" s="295"/>
      <c r="S1859" s="295"/>
      <c r="T1859" s="295"/>
      <c r="U1859" s="295"/>
      <c r="V1859" s="295"/>
      <c r="W1859" s="295"/>
      <c r="X1859" s="295"/>
      <c r="Y1859" s="295"/>
      <c r="Z1859" s="295"/>
      <c r="AA1859" s="295"/>
      <c r="AB1859" s="295"/>
      <c r="AC1859" s="295"/>
      <c r="AD1859" s="295"/>
      <c r="AE1859" s="295"/>
      <c r="AF1859" s="295"/>
      <c r="AG1859" s="295"/>
      <c r="AH1859" s="295"/>
      <c r="AI1859" s="295"/>
      <c r="AJ1859" s="295"/>
    </row>
    <row r="1860" spans="1:36" s="291" customFormat="1" ht="16.2">
      <c r="A1860" s="304"/>
      <c r="B1860" s="289"/>
      <c r="C1860" s="290"/>
      <c r="E1860" s="453"/>
      <c r="G1860" s="454"/>
      <c r="I1860" s="295"/>
      <c r="J1860" s="295"/>
      <c r="K1860" s="295"/>
      <c r="L1860" s="295"/>
      <c r="M1860" s="302"/>
      <c r="N1860" s="302"/>
      <c r="O1860" s="303"/>
      <c r="P1860" s="295"/>
      <c r="Q1860" s="295"/>
      <c r="R1860" s="295"/>
      <c r="S1860" s="295"/>
      <c r="T1860" s="295"/>
      <c r="U1860" s="295"/>
      <c r="V1860" s="295"/>
      <c r="W1860" s="295"/>
      <c r="X1860" s="295"/>
      <c r="Y1860" s="295"/>
      <c r="Z1860" s="295"/>
      <c r="AA1860" s="295"/>
      <c r="AB1860" s="295"/>
      <c r="AC1860" s="295"/>
      <c r="AD1860" s="295"/>
      <c r="AE1860" s="295"/>
      <c r="AF1860" s="295"/>
      <c r="AG1860" s="295"/>
      <c r="AH1860" s="295"/>
      <c r="AI1860" s="295"/>
      <c r="AJ1860" s="295"/>
    </row>
    <row r="1861" spans="1:36" s="291" customFormat="1" ht="16.2">
      <c r="A1861" s="304"/>
      <c r="B1861" s="289"/>
      <c r="C1861" s="290"/>
      <c r="E1861" s="453"/>
      <c r="G1861" s="454"/>
      <c r="I1861" s="295"/>
      <c r="J1861" s="295"/>
      <c r="K1861" s="295"/>
      <c r="L1861" s="295"/>
      <c r="M1861" s="302"/>
      <c r="N1861" s="302"/>
      <c r="O1861" s="303"/>
      <c r="P1861" s="295"/>
      <c r="Q1861" s="295"/>
      <c r="R1861" s="295"/>
      <c r="S1861" s="295"/>
      <c r="T1861" s="295"/>
      <c r="U1861" s="295"/>
      <c r="V1861" s="295"/>
      <c r="W1861" s="295"/>
      <c r="X1861" s="295"/>
      <c r="Y1861" s="295"/>
      <c r="Z1861" s="295"/>
      <c r="AA1861" s="295"/>
      <c r="AB1861" s="295"/>
      <c r="AC1861" s="295"/>
      <c r="AD1861" s="295"/>
      <c r="AE1861" s="295"/>
      <c r="AF1861" s="295"/>
      <c r="AG1861" s="295"/>
      <c r="AH1861" s="295"/>
      <c r="AI1861" s="295"/>
      <c r="AJ1861" s="295"/>
    </row>
    <row r="1862" spans="1:36" s="291" customFormat="1" ht="16.2">
      <c r="A1862" s="304"/>
      <c r="B1862" s="289"/>
      <c r="C1862" s="290"/>
      <c r="E1862" s="453"/>
      <c r="G1862" s="454"/>
      <c r="I1862" s="295"/>
      <c r="J1862" s="295"/>
      <c r="K1862" s="295"/>
      <c r="L1862" s="295"/>
      <c r="M1862" s="302"/>
      <c r="N1862" s="302"/>
      <c r="O1862" s="303"/>
      <c r="P1862" s="295"/>
      <c r="Q1862" s="295"/>
      <c r="R1862" s="295"/>
      <c r="S1862" s="295"/>
      <c r="T1862" s="295"/>
      <c r="U1862" s="295"/>
      <c r="V1862" s="295"/>
      <c r="W1862" s="295"/>
      <c r="X1862" s="295"/>
      <c r="Y1862" s="295"/>
      <c r="Z1862" s="295"/>
      <c r="AA1862" s="295"/>
      <c r="AB1862" s="295"/>
      <c r="AC1862" s="295"/>
      <c r="AD1862" s="295"/>
      <c r="AE1862" s="295"/>
      <c r="AF1862" s="295"/>
      <c r="AG1862" s="295"/>
      <c r="AH1862" s="295"/>
      <c r="AI1862" s="295"/>
      <c r="AJ1862" s="295"/>
    </row>
    <row r="1863" spans="1:36" s="291" customFormat="1" ht="16.2">
      <c r="A1863" s="304"/>
      <c r="B1863" s="289"/>
      <c r="C1863" s="290"/>
      <c r="E1863" s="453"/>
      <c r="G1863" s="454"/>
      <c r="I1863" s="295"/>
      <c r="J1863" s="295"/>
      <c r="K1863" s="295"/>
      <c r="L1863" s="295"/>
      <c r="M1863" s="302"/>
      <c r="N1863" s="302"/>
      <c r="O1863" s="303"/>
      <c r="P1863" s="295"/>
      <c r="Q1863" s="295"/>
      <c r="R1863" s="295"/>
      <c r="S1863" s="295"/>
      <c r="T1863" s="295"/>
      <c r="U1863" s="295"/>
      <c r="V1863" s="295"/>
      <c r="W1863" s="295"/>
      <c r="X1863" s="295"/>
      <c r="Y1863" s="295"/>
      <c r="Z1863" s="295"/>
      <c r="AA1863" s="295"/>
      <c r="AB1863" s="295"/>
      <c r="AC1863" s="295"/>
      <c r="AD1863" s="295"/>
      <c r="AE1863" s="295"/>
      <c r="AF1863" s="295"/>
      <c r="AG1863" s="295"/>
      <c r="AH1863" s="295"/>
      <c r="AI1863" s="295"/>
      <c r="AJ1863" s="295"/>
    </row>
    <row r="1864" spans="1:36" s="291" customFormat="1" ht="16.2">
      <c r="A1864" s="304"/>
      <c r="B1864" s="289"/>
      <c r="C1864" s="290"/>
      <c r="E1864" s="453"/>
      <c r="G1864" s="454"/>
      <c r="I1864" s="295"/>
      <c r="J1864" s="295"/>
      <c r="K1864" s="295"/>
      <c r="L1864" s="295"/>
      <c r="M1864" s="302"/>
      <c r="N1864" s="302"/>
      <c r="O1864" s="303"/>
      <c r="P1864" s="295"/>
      <c r="Q1864" s="295"/>
      <c r="R1864" s="295"/>
      <c r="S1864" s="295"/>
      <c r="T1864" s="295"/>
      <c r="U1864" s="295"/>
      <c r="V1864" s="295"/>
      <c r="W1864" s="295"/>
      <c r="X1864" s="295"/>
      <c r="Y1864" s="295"/>
      <c r="Z1864" s="295"/>
      <c r="AA1864" s="295"/>
      <c r="AB1864" s="295"/>
      <c r="AC1864" s="295"/>
      <c r="AD1864" s="295"/>
      <c r="AE1864" s="295"/>
      <c r="AF1864" s="295"/>
      <c r="AG1864" s="295"/>
      <c r="AH1864" s="295"/>
      <c r="AI1864" s="295"/>
      <c r="AJ1864" s="295"/>
    </row>
    <row r="1865" spans="1:36" s="291" customFormat="1" ht="16.2">
      <c r="A1865" s="304"/>
      <c r="B1865" s="289"/>
      <c r="C1865" s="290"/>
      <c r="E1865" s="453"/>
      <c r="G1865" s="454"/>
      <c r="I1865" s="295"/>
      <c r="J1865" s="295"/>
      <c r="K1865" s="295"/>
      <c r="L1865" s="295"/>
      <c r="M1865" s="302"/>
      <c r="N1865" s="302"/>
      <c r="O1865" s="303"/>
      <c r="P1865" s="295"/>
      <c r="Q1865" s="295"/>
      <c r="R1865" s="295"/>
      <c r="S1865" s="295"/>
      <c r="T1865" s="295"/>
      <c r="U1865" s="295"/>
      <c r="V1865" s="295"/>
      <c r="W1865" s="295"/>
      <c r="X1865" s="295"/>
      <c r="Y1865" s="295"/>
      <c r="Z1865" s="295"/>
      <c r="AA1865" s="295"/>
      <c r="AB1865" s="295"/>
      <c r="AC1865" s="295"/>
      <c r="AD1865" s="295"/>
      <c r="AE1865" s="295"/>
      <c r="AF1865" s="295"/>
      <c r="AG1865" s="295"/>
      <c r="AH1865" s="295"/>
      <c r="AI1865" s="295"/>
      <c r="AJ1865" s="295"/>
    </row>
    <row r="1866" spans="1:36" s="291" customFormat="1" ht="16.2">
      <c r="A1866" s="304"/>
      <c r="B1866" s="289"/>
      <c r="C1866" s="290"/>
      <c r="E1866" s="453"/>
      <c r="G1866" s="454"/>
      <c r="I1866" s="295"/>
      <c r="J1866" s="295"/>
      <c r="K1866" s="295"/>
      <c r="L1866" s="295"/>
      <c r="M1866" s="302"/>
      <c r="N1866" s="302"/>
      <c r="O1866" s="303"/>
      <c r="P1866" s="295"/>
      <c r="Q1866" s="295"/>
      <c r="R1866" s="295"/>
      <c r="S1866" s="295"/>
      <c r="T1866" s="295"/>
      <c r="U1866" s="295"/>
      <c r="V1866" s="295"/>
      <c r="W1866" s="295"/>
      <c r="X1866" s="295"/>
      <c r="Y1866" s="295"/>
      <c r="Z1866" s="295"/>
      <c r="AA1866" s="295"/>
      <c r="AB1866" s="295"/>
      <c r="AC1866" s="295"/>
      <c r="AD1866" s="295"/>
      <c r="AE1866" s="295"/>
      <c r="AF1866" s="295"/>
      <c r="AG1866" s="295"/>
      <c r="AH1866" s="295"/>
      <c r="AI1866" s="295"/>
      <c r="AJ1866" s="295"/>
    </row>
    <row r="1867" spans="1:36" s="291" customFormat="1" ht="16.2">
      <c r="A1867" s="304"/>
      <c r="B1867" s="289"/>
      <c r="C1867" s="290"/>
      <c r="E1867" s="453"/>
      <c r="G1867" s="454"/>
      <c r="I1867" s="295"/>
      <c r="J1867" s="295"/>
      <c r="K1867" s="295"/>
      <c r="L1867" s="295"/>
      <c r="M1867" s="302"/>
      <c r="N1867" s="302"/>
      <c r="O1867" s="303"/>
      <c r="P1867" s="295"/>
      <c r="Q1867" s="295"/>
      <c r="R1867" s="295"/>
      <c r="S1867" s="295"/>
      <c r="T1867" s="295"/>
      <c r="U1867" s="295"/>
      <c r="V1867" s="295"/>
      <c r="W1867" s="295"/>
      <c r="X1867" s="295"/>
      <c r="Y1867" s="295"/>
      <c r="Z1867" s="295"/>
      <c r="AA1867" s="295"/>
      <c r="AB1867" s="295"/>
      <c r="AC1867" s="295"/>
      <c r="AD1867" s="295"/>
      <c r="AE1867" s="295"/>
      <c r="AF1867" s="295"/>
      <c r="AG1867" s="295"/>
      <c r="AH1867" s="295"/>
      <c r="AI1867" s="295"/>
      <c r="AJ1867" s="295"/>
    </row>
    <row r="1868" spans="1:36" s="291" customFormat="1" ht="16.2">
      <c r="A1868" s="304"/>
      <c r="B1868" s="289"/>
      <c r="C1868" s="290"/>
      <c r="E1868" s="453"/>
      <c r="G1868" s="454"/>
      <c r="I1868" s="295"/>
      <c r="J1868" s="295"/>
      <c r="K1868" s="295"/>
      <c r="L1868" s="295"/>
      <c r="M1868" s="302"/>
      <c r="N1868" s="302"/>
      <c r="O1868" s="303"/>
      <c r="P1868" s="295"/>
      <c r="Q1868" s="295"/>
      <c r="R1868" s="295"/>
      <c r="S1868" s="295"/>
      <c r="T1868" s="295"/>
      <c r="U1868" s="295"/>
      <c r="V1868" s="295"/>
      <c r="W1868" s="295"/>
      <c r="X1868" s="295"/>
      <c r="Y1868" s="295"/>
      <c r="Z1868" s="295"/>
      <c r="AA1868" s="295"/>
      <c r="AB1868" s="295"/>
      <c r="AC1868" s="295"/>
      <c r="AD1868" s="295"/>
      <c r="AE1868" s="295"/>
      <c r="AF1868" s="295"/>
      <c r="AG1868" s="295"/>
      <c r="AH1868" s="295"/>
      <c r="AI1868" s="295"/>
      <c r="AJ1868" s="295"/>
    </row>
    <row r="1869" spans="1:36" s="291" customFormat="1" ht="16.2">
      <c r="A1869" s="304"/>
      <c r="B1869" s="289"/>
      <c r="C1869" s="290"/>
      <c r="E1869" s="453"/>
      <c r="G1869" s="454"/>
      <c r="I1869" s="295"/>
      <c r="J1869" s="295"/>
      <c r="K1869" s="295"/>
      <c r="L1869" s="295"/>
      <c r="M1869" s="302"/>
      <c r="N1869" s="302"/>
      <c r="O1869" s="303"/>
      <c r="P1869" s="295"/>
      <c r="Q1869" s="295"/>
      <c r="R1869" s="295"/>
      <c r="S1869" s="295"/>
      <c r="T1869" s="295"/>
      <c r="U1869" s="295"/>
      <c r="V1869" s="295"/>
      <c r="W1869" s="295"/>
      <c r="X1869" s="295"/>
      <c r="Y1869" s="295"/>
      <c r="Z1869" s="295"/>
      <c r="AA1869" s="295"/>
      <c r="AB1869" s="295"/>
      <c r="AC1869" s="295"/>
      <c r="AD1869" s="295"/>
      <c r="AE1869" s="295"/>
      <c r="AF1869" s="295"/>
      <c r="AG1869" s="295"/>
      <c r="AH1869" s="295"/>
      <c r="AI1869" s="295"/>
      <c r="AJ1869" s="295"/>
    </row>
    <row r="1870" spans="1:36" s="291" customFormat="1" ht="16.2">
      <c r="A1870" s="304"/>
      <c r="B1870" s="289"/>
      <c r="C1870" s="290"/>
      <c r="E1870" s="453"/>
      <c r="G1870" s="454"/>
      <c r="I1870" s="295"/>
      <c r="J1870" s="295"/>
      <c r="K1870" s="295"/>
      <c r="L1870" s="295"/>
      <c r="M1870" s="302"/>
      <c r="N1870" s="302"/>
      <c r="O1870" s="303"/>
      <c r="P1870" s="295"/>
      <c r="Q1870" s="295"/>
      <c r="R1870" s="295"/>
      <c r="S1870" s="295"/>
      <c r="T1870" s="295"/>
      <c r="U1870" s="295"/>
      <c r="V1870" s="295"/>
      <c r="W1870" s="295"/>
      <c r="X1870" s="295"/>
      <c r="Y1870" s="295"/>
      <c r="Z1870" s="295"/>
      <c r="AA1870" s="295"/>
      <c r="AB1870" s="295"/>
      <c r="AC1870" s="295"/>
      <c r="AD1870" s="295"/>
      <c r="AE1870" s="295"/>
      <c r="AF1870" s="295"/>
      <c r="AG1870" s="295"/>
      <c r="AH1870" s="295"/>
      <c r="AI1870" s="295"/>
      <c r="AJ1870" s="295"/>
    </row>
    <row r="1871" spans="1:36" s="291" customFormat="1" ht="16.2">
      <c r="A1871" s="304"/>
      <c r="B1871" s="289"/>
      <c r="C1871" s="290"/>
      <c r="E1871" s="453"/>
      <c r="G1871" s="454"/>
      <c r="I1871" s="295"/>
      <c r="J1871" s="295"/>
      <c r="K1871" s="295"/>
      <c r="L1871" s="295"/>
      <c r="M1871" s="302"/>
      <c r="N1871" s="302"/>
      <c r="O1871" s="303"/>
      <c r="P1871" s="295"/>
      <c r="Q1871" s="295"/>
      <c r="R1871" s="295"/>
      <c r="S1871" s="295"/>
      <c r="T1871" s="295"/>
      <c r="U1871" s="295"/>
      <c r="V1871" s="295"/>
      <c r="W1871" s="295"/>
      <c r="X1871" s="295"/>
      <c r="Y1871" s="295"/>
      <c r="Z1871" s="295"/>
      <c r="AA1871" s="295"/>
      <c r="AB1871" s="295"/>
      <c r="AC1871" s="295"/>
      <c r="AD1871" s="295"/>
      <c r="AE1871" s="295"/>
      <c r="AF1871" s="295"/>
      <c r="AG1871" s="295"/>
      <c r="AH1871" s="295"/>
      <c r="AI1871" s="295"/>
      <c r="AJ1871" s="295"/>
    </row>
    <row r="1872" spans="1:36" s="291" customFormat="1" ht="16.2">
      <c r="A1872" s="304"/>
      <c r="B1872" s="289"/>
      <c r="C1872" s="290"/>
      <c r="E1872" s="453"/>
      <c r="G1872" s="454"/>
      <c r="I1872" s="295"/>
      <c r="J1872" s="295"/>
      <c r="K1872" s="295"/>
      <c r="L1872" s="295"/>
      <c r="M1872" s="302"/>
      <c r="N1872" s="302"/>
      <c r="O1872" s="303"/>
      <c r="P1872" s="295"/>
      <c r="Q1872" s="295"/>
      <c r="R1872" s="295"/>
      <c r="S1872" s="295"/>
      <c r="T1872" s="295"/>
      <c r="U1872" s="295"/>
      <c r="V1872" s="295"/>
      <c r="W1872" s="295"/>
      <c r="X1872" s="295"/>
      <c r="Y1872" s="295"/>
      <c r="Z1872" s="295"/>
      <c r="AA1872" s="295"/>
      <c r="AB1872" s="295"/>
      <c r="AC1872" s="295"/>
      <c r="AD1872" s="295"/>
      <c r="AE1872" s="295"/>
      <c r="AF1872" s="295"/>
      <c r="AG1872" s="295"/>
      <c r="AH1872" s="295"/>
      <c r="AI1872" s="295"/>
      <c r="AJ1872" s="295"/>
    </row>
    <row r="1873" spans="1:36" s="291" customFormat="1" ht="16.2">
      <c r="A1873" s="304"/>
      <c r="B1873" s="289"/>
      <c r="C1873" s="290"/>
      <c r="E1873" s="453"/>
      <c r="G1873" s="454"/>
      <c r="I1873" s="295"/>
      <c r="J1873" s="295"/>
      <c r="K1873" s="295"/>
      <c r="L1873" s="295"/>
      <c r="M1873" s="302"/>
      <c r="N1873" s="302"/>
      <c r="O1873" s="303"/>
      <c r="P1873" s="295"/>
      <c r="Q1873" s="295"/>
      <c r="R1873" s="295"/>
      <c r="S1873" s="295"/>
      <c r="T1873" s="295"/>
      <c r="U1873" s="295"/>
      <c r="V1873" s="295"/>
      <c r="W1873" s="295"/>
      <c r="X1873" s="295"/>
      <c r="Y1873" s="295"/>
      <c r="Z1873" s="295"/>
      <c r="AA1873" s="295"/>
      <c r="AB1873" s="295"/>
      <c r="AC1873" s="295"/>
      <c r="AD1873" s="295"/>
      <c r="AE1873" s="295"/>
      <c r="AF1873" s="295"/>
      <c r="AG1873" s="295"/>
      <c r="AH1873" s="295"/>
      <c r="AI1873" s="295"/>
      <c r="AJ1873" s="295"/>
    </row>
    <row r="1874" spans="1:36" s="291" customFormat="1" ht="16.2">
      <c r="A1874" s="304"/>
      <c r="B1874" s="289"/>
      <c r="C1874" s="290"/>
      <c r="E1874" s="453"/>
      <c r="G1874" s="454"/>
      <c r="I1874" s="295"/>
      <c r="J1874" s="295"/>
      <c r="K1874" s="295"/>
      <c r="L1874" s="295"/>
      <c r="M1874" s="302"/>
      <c r="N1874" s="302"/>
      <c r="O1874" s="303"/>
      <c r="P1874" s="295"/>
      <c r="Q1874" s="295"/>
      <c r="R1874" s="295"/>
      <c r="S1874" s="295"/>
      <c r="T1874" s="295"/>
      <c r="U1874" s="295"/>
      <c r="V1874" s="295"/>
      <c r="W1874" s="295"/>
      <c r="X1874" s="295"/>
      <c r="Y1874" s="295"/>
      <c r="Z1874" s="295"/>
      <c r="AA1874" s="295"/>
      <c r="AB1874" s="295"/>
      <c r="AC1874" s="295"/>
      <c r="AD1874" s="295"/>
      <c r="AE1874" s="295"/>
      <c r="AF1874" s="295"/>
      <c r="AG1874" s="295"/>
      <c r="AH1874" s="295"/>
      <c r="AI1874" s="295"/>
      <c r="AJ1874" s="295"/>
    </row>
    <row r="1875" spans="1:36" s="291" customFormat="1" ht="16.2">
      <c r="A1875" s="304"/>
      <c r="B1875" s="289"/>
      <c r="C1875" s="290"/>
      <c r="E1875" s="453"/>
      <c r="G1875" s="454"/>
      <c r="I1875" s="295"/>
      <c r="J1875" s="295"/>
      <c r="K1875" s="295"/>
      <c r="L1875" s="295"/>
      <c r="M1875" s="302"/>
      <c r="N1875" s="302"/>
      <c r="O1875" s="303"/>
      <c r="P1875" s="295"/>
      <c r="Q1875" s="295"/>
      <c r="R1875" s="295"/>
      <c r="S1875" s="295"/>
      <c r="T1875" s="295"/>
      <c r="U1875" s="295"/>
      <c r="V1875" s="295"/>
      <c r="W1875" s="295"/>
      <c r="X1875" s="295"/>
      <c r="Y1875" s="295"/>
      <c r="Z1875" s="295"/>
      <c r="AA1875" s="295"/>
      <c r="AB1875" s="295"/>
      <c r="AC1875" s="295"/>
      <c r="AD1875" s="295"/>
      <c r="AE1875" s="295"/>
      <c r="AF1875" s="295"/>
      <c r="AG1875" s="295"/>
      <c r="AH1875" s="295"/>
      <c r="AI1875" s="295"/>
      <c r="AJ1875" s="295"/>
    </row>
    <row r="1876" spans="1:36" s="291" customFormat="1" ht="16.2">
      <c r="A1876" s="304"/>
      <c r="B1876" s="289"/>
      <c r="C1876" s="290"/>
      <c r="E1876" s="453"/>
      <c r="G1876" s="454"/>
      <c r="I1876" s="295"/>
      <c r="J1876" s="295"/>
      <c r="K1876" s="295"/>
      <c r="L1876" s="295"/>
      <c r="M1876" s="302"/>
      <c r="N1876" s="302"/>
      <c r="O1876" s="303"/>
      <c r="P1876" s="295"/>
      <c r="Q1876" s="295"/>
      <c r="R1876" s="295"/>
      <c r="S1876" s="295"/>
      <c r="T1876" s="295"/>
      <c r="U1876" s="295"/>
      <c r="V1876" s="295"/>
      <c r="W1876" s="295"/>
      <c r="X1876" s="295"/>
      <c r="Y1876" s="295"/>
      <c r="Z1876" s="295"/>
      <c r="AA1876" s="295"/>
      <c r="AB1876" s="295"/>
      <c r="AC1876" s="295"/>
      <c r="AD1876" s="295"/>
      <c r="AE1876" s="295"/>
      <c r="AF1876" s="295"/>
      <c r="AG1876" s="295"/>
      <c r="AH1876" s="295"/>
      <c r="AI1876" s="295"/>
      <c r="AJ1876" s="295"/>
    </row>
    <row r="1877" spans="1:36" s="291" customFormat="1" ht="16.2">
      <c r="A1877" s="304"/>
      <c r="B1877" s="289"/>
      <c r="C1877" s="290"/>
      <c r="E1877" s="453"/>
      <c r="G1877" s="454"/>
      <c r="I1877" s="295"/>
      <c r="J1877" s="295"/>
      <c r="K1877" s="295"/>
      <c r="L1877" s="295"/>
      <c r="M1877" s="302"/>
      <c r="N1877" s="302"/>
      <c r="O1877" s="303"/>
      <c r="P1877" s="295"/>
      <c r="Q1877" s="295"/>
      <c r="R1877" s="295"/>
      <c r="S1877" s="295"/>
      <c r="T1877" s="295"/>
      <c r="U1877" s="295"/>
      <c r="V1877" s="295"/>
      <c r="W1877" s="295"/>
      <c r="X1877" s="295"/>
      <c r="Y1877" s="295"/>
      <c r="Z1877" s="295"/>
      <c r="AA1877" s="295"/>
      <c r="AB1877" s="295"/>
      <c r="AC1877" s="295"/>
      <c r="AD1877" s="295"/>
      <c r="AE1877" s="295"/>
      <c r="AF1877" s="295"/>
      <c r="AG1877" s="295"/>
      <c r="AH1877" s="295"/>
      <c r="AI1877" s="295"/>
      <c r="AJ1877" s="295"/>
    </row>
    <row r="1878" spans="1:36" s="291" customFormat="1" ht="16.2">
      <c r="A1878" s="304"/>
      <c r="B1878" s="289"/>
      <c r="C1878" s="290"/>
      <c r="E1878" s="453"/>
      <c r="G1878" s="454"/>
      <c r="I1878" s="295"/>
      <c r="J1878" s="295"/>
      <c r="K1878" s="295"/>
      <c r="L1878" s="295"/>
      <c r="M1878" s="302"/>
      <c r="N1878" s="302"/>
      <c r="O1878" s="303"/>
      <c r="P1878" s="295"/>
      <c r="Q1878" s="295"/>
      <c r="R1878" s="295"/>
      <c r="S1878" s="295"/>
      <c r="T1878" s="295"/>
      <c r="U1878" s="295"/>
      <c r="V1878" s="295"/>
      <c r="W1878" s="295"/>
      <c r="X1878" s="295"/>
      <c r="Y1878" s="295"/>
      <c r="Z1878" s="295"/>
      <c r="AA1878" s="295"/>
      <c r="AB1878" s="295"/>
      <c r="AC1878" s="295"/>
      <c r="AD1878" s="295"/>
      <c r="AE1878" s="295"/>
      <c r="AF1878" s="295"/>
      <c r="AG1878" s="295"/>
      <c r="AH1878" s="295"/>
      <c r="AI1878" s="295"/>
      <c r="AJ1878" s="295"/>
    </row>
    <row r="1879" spans="1:36" s="291" customFormat="1" ht="16.2">
      <c r="A1879" s="304"/>
      <c r="B1879" s="289"/>
      <c r="C1879" s="290"/>
      <c r="E1879" s="453"/>
      <c r="G1879" s="454"/>
      <c r="I1879" s="295"/>
      <c r="J1879" s="295"/>
      <c r="K1879" s="295"/>
      <c r="L1879" s="295"/>
      <c r="M1879" s="302"/>
      <c r="N1879" s="302"/>
      <c r="O1879" s="303"/>
      <c r="P1879" s="295"/>
      <c r="Q1879" s="295"/>
      <c r="R1879" s="295"/>
      <c r="S1879" s="295"/>
      <c r="T1879" s="295"/>
      <c r="U1879" s="295"/>
      <c r="V1879" s="295"/>
      <c r="W1879" s="295"/>
      <c r="X1879" s="295"/>
      <c r="Y1879" s="295"/>
      <c r="Z1879" s="295"/>
      <c r="AA1879" s="295"/>
      <c r="AB1879" s="295"/>
      <c r="AC1879" s="295"/>
      <c r="AD1879" s="295"/>
      <c r="AE1879" s="295"/>
      <c r="AF1879" s="295"/>
      <c r="AG1879" s="295"/>
      <c r="AH1879" s="295"/>
      <c r="AI1879" s="295"/>
      <c r="AJ1879" s="295"/>
    </row>
    <row r="1880" spans="1:36" s="291" customFormat="1" ht="16.2">
      <c r="A1880" s="304"/>
      <c r="B1880" s="289"/>
      <c r="C1880" s="290"/>
      <c r="E1880" s="453"/>
      <c r="G1880" s="454"/>
      <c r="I1880" s="295"/>
      <c r="J1880" s="295"/>
      <c r="K1880" s="295"/>
      <c r="L1880" s="295"/>
      <c r="M1880" s="302"/>
      <c r="N1880" s="302"/>
      <c r="O1880" s="303"/>
      <c r="P1880" s="295"/>
      <c r="Q1880" s="295"/>
      <c r="R1880" s="295"/>
      <c r="S1880" s="295"/>
      <c r="T1880" s="295"/>
      <c r="U1880" s="295"/>
      <c r="V1880" s="295"/>
      <c r="W1880" s="295"/>
      <c r="X1880" s="295"/>
      <c r="Y1880" s="295"/>
      <c r="Z1880" s="295"/>
      <c r="AA1880" s="295"/>
      <c r="AB1880" s="295"/>
      <c r="AC1880" s="295"/>
      <c r="AD1880" s="295"/>
      <c r="AE1880" s="295"/>
      <c r="AF1880" s="295"/>
      <c r="AG1880" s="295"/>
      <c r="AH1880" s="295"/>
      <c r="AI1880" s="295"/>
      <c r="AJ1880" s="295"/>
    </row>
    <row r="1881" spans="1:36" s="291" customFormat="1" ht="16.2">
      <c r="A1881" s="304"/>
      <c r="B1881" s="289"/>
      <c r="C1881" s="290"/>
      <c r="E1881" s="453"/>
      <c r="G1881" s="454"/>
      <c r="I1881" s="295"/>
      <c r="J1881" s="295"/>
      <c r="K1881" s="295"/>
      <c r="L1881" s="295"/>
      <c r="M1881" s="302"/>
      <c r="N1881" s="302"/>
      <c r="O1881" s="303"/>
      <c r="P1881" s="295"/>
      <c r="Q1881" s="295"/>
      <c r="R1881" s="295"/>
      <c r="S1881" s="295"/>
      <c r="T1881" s="295"/>
      <c r="U1881" s="295"/>
      <c r="V1881" s="295"/>
      <c r="W1881" s="295"/>
      <c r="X1881" s="295"/>
      <c r="Y1881" s="295"/>
      <c r="Z1881" s="295"/>
      <c r="AA1881" s="295"/>
      <c r="AB1881" s="295"/>
      <c r="AC1881" s="295"/>
      <c r="AD1881" s="295"/>
      <c r="AE1881" s="295"/>
      <c r="AF1881" s="295"/>
      <c r="AG1881" s="295"/>
      <c r="AH1881" s="295"/>
      <c r="AI1881" s="295"/>
      <c r="AJ1881" s="295"/>
    </row>
    <row r="1882" spans="1:36" s="291" customFormat="1" ht="16.2">
      <c r="A1882" s="304"/>
      <c r="B1882" s="289"/>
      <c r="C1882" s="290"/>
      <c r="E1882" s="453"/>
      <c r="G1882" s="454"/>
      <c r="I1882" s="295"/>
      <c r="J1882" s="295"/>
      <c r="K1882" s="295"/>
      <c r="L1882" s="295"/>
      <c r="M1882" s="302"/>
      <c r="N1882" s="302"/>
      <c r="O1882" s="303"/>
      <c r="P1882" s="295"/>
      <c r="Q1882" s="295"/>
      <c r="R1882" s="295"/>
      <c r="S1882" s="295"/>
      <c r="T1882" s="295"/>
      <c r="U1882" s="295"/>
      <c r="V1882" s="295"/>
      <c r="W1882" s="295"/>
      <c r="X1882" s="295"/>
      <c r="Y1882" s="295"/>
      <c r="Z1882" s="295"/>
      <c r="AA1882" s="295"/>
      <c r="AB1882" s="295"/>
      <c r="AC1882" s="295"/>
      <c r="AD1882" s="295"/>
      <c r="AE1882" s="295"/>
      <c r="AF1882" s="295"/>
      <c r="AG1882" s="295"/>
      <c r="AH1882" s="295"/>
      <c r="AI1882" s="295"/>
      <c r="AJ1882" s="295"/>
    </row>
    <row r="1883" spans="1:36" s="291" customFormat="1" ht="16.2">
      <c r="A1883" s="304"/>
      <c r="B1883" s="289"/>
      <c r="C1883" s="290"/>
      <c r="E1883" s="453"/>
      <c r="G1883" s="454"/>
      <c r="I1883" s="295"/>
      <c r="J1883" s="295"/>
      <c r="K1883" s="295"/>
      <c r="L1883" s="295"/>
      <c r="M1883" s="302"/>
      <c r="N1883" s="302"/>
      <c r="O1883" s="303"/>
      <c r="P1883" s="295"/>
      <c r="Q1883" s="295"/>
      <c r="R1883" s="295"/>
      <c r="S1883" s="295"/>
      <c r="T1883" s="295"/>
      <c r="U1883" s="295"/>
      <c r="V1883" s="295"/>
      <c r="W1883" s="295"/>
      <c r="X1883" s="295"/>
      <c r="Y1883" s="295"/>
      <c r="Z1883" s="295"/>
      <c r="AA1883" s="295"/>
      <c r="AB1883" s="295"/>
      <c r="AC1883" s="295"/>
      <c r="AD1883" s="295"/>
      <c r="AE1883" s="295"/>
      <c r="AF1883" s="295"/>
      <c r="AG1883" s="295"/>
      <c r="AH1883" s="295"/>
      <c r="AI1883" s="295"/>
      <c r="AJ1883" s="295"/>
    </row>
    <row r="1884" spans="1:36" s="291" customFormat="1" ht="16.2">
      <c r="A1884" s="304"/>
      <c r="B1884" s="289"/>
      <c r="C1884" s="290"/>
      <c r="E1884" s="453"/>
      <c r="G1884" s="454"/>
      <c r="I1884" s="295"/>
      <c r="J1884" s="295"/>
      <c r="K1884" s="295"/>
      <c r="L1884" s="295"/>
      <c r="M1884" s="302"/>
      <c r="N1884" s="302"/>
      <c r="O1884" s="303"/>
      <c r="P1884" s="295"/>
      <c r="Q1884" s="295"/>
      <c r="R1884" s="295"/>
      <c r="S1884" s="295"/>
      <c r="T1884" s="295"/>
      <c r="U1884" s="295"/>
      <c r="V1884" s="295"/>
      <c r="W1884" s="295"/>
      <c r="X1884" s="295"/>
      <c r="Y1884" s="295"/>
      <c r="Z1884" s="295"/>
      <c r="AA1884" s="295"/>
      <c r="AB1884" s="295"/>
      <c r="AC1884" s="295"/>
      <c r="AD1884" s="295"/>
      <c r="AE1884" s="295"/>
      <c r="AF1884" s="295"/>
      <c r="AG1884" s="295"/>
      <c r="AH1884" s="295"/>
      <c r="AI1884" s="295"/>
      <c r="AJ1884" s="295"/>
    </row>
    <row r="1885" spans="1:36" s="291" customFormat="1" ht="16.2">
      <c r="A1885" s="304"/>
      <c r="B1885" s="289"/>
      <c r="C1885" s="290"/>
      <c r="E1885" s="453"/>
      <c r="G1885" s="454"/>
      <c r="I1885" s="295"/>
      <c r="J1885" s="295"/>
      <c r="K1885" s="295"/>
      <c r="L1885" s="295"/>
      <c r="M1885" s="302"/>
      <c r="N1885" s="302"/>
      <c r="O1885" s="303"/>
      <c r="P1885" s="295"/>
      <c r="Q1885" s="295"/>
      <c r="R1885" s="295"/>
      <c r="S1885" s="295"/>
      <c r="T1885" s="295"/>
      <c r="U1885" s="295"/>
      <c r="V1885" s="295"/>
      <c r="W1885" s="295"/>
      <c r="X1885" s="295"/>
      <c r="Y1885" s="295"/>
      <c r="Z1885" s="295"/>
      <c r="AA1885" s="295"/>
      <c r="AB1885" s="295"/>
      <c r="AC1885" s="295"/>
      <c r="AD1885" s="295"/>
      <c r="AE1885" s="295"/>
      <c r="AF1885" s="295"/>
      <c r="AG1885" s="295"/>
      <c r="AH1885" s="295"/>
      <c r="AI1885" s="295"/>
      <c r="AJ1885" s="295"/>
    </row>
    <row r="1886" spans="1:36" s="291" customFormat="1" ht="16.2">
      <c r="A1886" s="304"/>
      <c r="B1886" s="289"/>
      <c r="C1886" s="290"/>
      <c r="E1886" s="453"/>
      <c r="G1886" s="454"/>
      <c r="I1886" s="295"/>
      <c r="J1886" s="295"/>
      <c r="K1886" s="295"/>
      <c r="L1886" s="295"/>
      <c r="M1886" s="302"/>
      <c r="N1886" s="302"/>
      <c r="O1886" s="303"/>
      <c r="P1886" s="295"/>
      <c r="Q1886" s="295"/>
      <c r="R1886" s="295"/>
      <c r="S1886" s="295"/>
      <c r="T1886" s="295"/>
      <c r="U1886" s="295"/>
      <c r="V1886" s="295"/>
      <c r="W1886" s="295"/>
      <c r="X1886" s="295"/>
      <c r="Y1886" s="295"/>
      <c r="Z1886" s="295"/>
      <c r="AA1886" s="295"/>
      <c r="AB1886" s="295"/>
      <c r="AC1886" s="295"/>
      <c r="AD1886" s="295"/>
      <c r="AE1886" s="295"/>
      <c r="AF1886" s="295"/>
      <c r="AG1886" s="295"/>
      <c r="AH1886" s="295"/>
      <c r="AI1886" s="295"/>
      <c r="AJ1886" s="295"/>
    </row>
    <row r="1887" spans="1:36" s="291" customFormat="1" ht="16.2">
      <c r="A1887" s="304"/>
      <c r="B1887" s="289"/>
      <c r="C1887" s="290"/>
      <c r="E1887" s="453"/>
      <c r="G1887" s="454"/>
      <c r="I1887" s="295"/>
      <c r="J1887" s="295"/>
      <c r="K1887" s="295"/>
      <c r="L1887" s="295"/>
      <c r="M1887" s="302"/>
      <c r="N1887" s="302"/>
      <c r="O1887" s="303"/>
      <c r="P1887" s="295"/>
      <c r="Q1887" s="295"/>
      <c r="R1887" s="295"/>
      <c r="S1887" s="295"/>
      <c r="T1887" s="295"/>
      <c r="U1887" s="295"/>
      <c r="V1887" s="295"/>
      <c r="W1887" s="295"/>
      <c r="X1887" s="295"/>
      <c r="Y1887" s="295"/>
      <c r="Z1887" s="295"/>
      <c r="AA1887" s="295"/>
      <c r="AB1887" s="295"/>
      <c r="AC1887" s="295"/>
      <c r="AD1887" s="295"/>
      <c r="AE1887" s="295"/>
      <c r="AF1887" s="295"/>
      <c r="AG1887" s="295"/>
      <c r="AH1887" s="295"/>
      <c r="AI1887" s="295"/>
      <c r="AJ1887" s="295"/>
    </row>
    <row r="1888" spans="1:36" s="291" customFormat="1" ht="16.2">
      <c r="A1888" s="304"/>
      <c r="B1888" s="289"/>
      <c r="C1888" s="290"/>
      <c r="E1888" s="453"/>
      <c r="G1888" s="454"/>
      <c r="I1888" s="295"/>
      <c r="J1888" s="295"/>
      <c r="K1888" s="295"/>
      <c r="L1888" s="295"/>
      <c r="M1888" s="302"/>
      <c r="N1888" s="302"/>
      <c r="O1888" s="303"/>
      <c r="P1888" s="295"/>
      <c r="Q1888" s="295"/>
      <c r="R1888" s="295"/>
      <c r="S1888" s="295"/>
      <c r="T1888" s="295"/>
      <c r="U1888" s="295"/>
      <c r="V1888" s="295"/>
      <c r="W1888" s="295"/>
      <c r="X1888" s="295"/>
      <c r="Y1888" s="295"/>
      <c r="Z1888" s="295"/>
      <c r="AA1888" s="295"/>
      <c r="AB1888" s="295"/>
      <c r="AC1888" s="295"/>
      <c r="AD1888" s="295"/>
      <c r="AE1888" s="295"/>
      <c r="AF1888" s="295"/>
      <c r="AG1888" s="295"/>
      <c r="AH1888" s="295"/>
      <c r="AI1888" s="295"/>
      <c r="AJ1888" s="295"/>
    </row>
    <row r="1889" spans="1:36" s="291" customFormat="1" ht="16.2">
      <c r="A1889" s="304"/>
      <c r="B1889" s="289"/>
      <c r="C1889" s="290"/>
      <c r="E1889" s="453"/>
      <c r="G1889" s="454"/>
      <c r="I1889" s="295"/>
      <c r="J1889" s="295"/>
      <c r="K1889" s="295"/>
      <c r="L1889" s="295"/>
      <c r="M1889" s="302"/>
      <c r="N1889" s="302"/>
      <c r="O1889" s="303"/>
      <c r="P1889" s="295"/>
      <c r="Q1889" s="295"/>
      <c r="R1889" s="295"/>
      <c r="S1889" s="295"/>
      <c r="T1889" s="295"/>
      <c r="U1889" s="295"/>
      <c r="V1889" s="295"/>
      <c r="W1889" s="295"/>
      <c r="X1889" s="295"/>
      <c r="Y1889" s="295"/>
      <c r="Z1889" s="295"/>
      <c r="AA1889" s="295"/>
      <c r="AB1889" s="295"/>
      <c r="AC1889" s="295"/>
      <c r="AD1889" s="295"/>
      <c r="AE1889" s="295"/>
      <c r="AF1889" s="295"/>
      <c r="AG1889" s="295"/>
      <c r="AH1889" s="295"/>
      <c r="AI1889" s="295"/>
      <c r="AJ1889" s="295"/>
    </row>
    <row r="1890" spans="1:36" s="291" customFormat="1" ht="16.2">
      <c r="A1890" s="304"/>
      <c r="B1890" s="289"/>
      <c r="C1890" s="290"/>
      <c r="E1890" s="453"/>
      <c r="G1890" s="454"/>
      <c r="I1890" s="295"/>
      <c r="J1890" s="295"/>
      <c r="K1890" s="295"/>
      <c r="L1890" s="295"/>
      <c r="M1890" s="302"/>
      <c r="N1890" s="302"/>
      <c r="O1890" s="303"/>
      <c r="P1890" s="295"/>
      <c r="Q1890" s="295"/>
      <c r="R1890" s="295"/>
      <c r="S1890" s="295"/>
      <c r="T1890" s="295"/>
      <c r="U1890" s="295"/>
      <c r="V1890" s="295"/>
      <c r="W1890" s="295"/>
      <c r="X1890" s="295"/>
      <c r="Y1890" s="295"/>
      <c r="Z1890" s="295"/>
      <c r="AA1890" s="295"/>
      <c r="AB1890" s="295"/>
      <c r="AC1890" s="295"/>
      <c r="AD1890" s="295"/>
      <c r="AE1890" s="295"/>
      <c r="AF1890" s="295"/>
      <c r="AG1890" s="295"/>
      <c r="AH1890" s="295"/>
      <c r="AI1890" s="295"/>
      <c r="AJ1890" s="295"/>
    </row>
    <row r="1891" spans="1:36" s="291" customFormat="1" ht="16.2">
      <c r="A1891" s="304"/>
      <c r="B1891" s="289"/>
      <c r="C1891" s="290"/>
      <c r="E1891" s="453"/>
      <c r="G1891" s="454"/>
      <c r="I1891" s="295"/>
      <c r="J1891" s="295"/>
      <c r="K1891" s="295"/>
      <c r="L1891" s="295"/>
      <c r="M1891" s="302"/>
      <c r="N1891" s="302"/>
      <c r="O1891" s="303"/>
      <c r="P1891" s="295"/>
      <c r="Q1891" s="295"/>
      <c r="R1891" s="295"/>
      <c r="S1891" s="295"/>
      <c r="T1891" s="295"/>
      <c r="U1891" s="295"/>
      <c r="V1891" s="295"/>
      <c r="W1891" s="295"/>
      <c r="X1891" s="295"/>
      <c r="Y1891" s="295"/>
      <c r="Z1891" s="295"/>
      <c r="AA1891" s="295"/>
      <c r="AB1891" s="295"/>
      <c r="AC1891" s="295"/>
      <c r="AD1891" s="295"/>
      <c r="AE1891" s="295"/>
      <c r="AF1891" s="295"/>
      <c r="AG1891" s="295"/>
      <c r="AH1891" s="295"/>
      <c r="AI1891" s="295"/>
      <c r="AJ1891" s="295"/>
    </row>
    <row r="1892" spans="1:36" s="291" customFormat="1" ht="16.2">
      <c r="A1892" s="304"/>
      <c r="B1892" s="289"/>
      <c r="C1892" s="290"/>
      <c r="E1892" s="453"/>
      <c r="G1892" s="454"/>
      <c r="I1892" s="295"/>
      <c r="J1892" s="295"/>
      <c r="K1892" s="295"/>
      <c r="L1892" s="295"/>
      <c r="M1892" s="302"/>
      <c r="N1892" s="302"/>
      <c r="O1892" s="303"/>
      <c r="P1892" s="295"/>
      <c r="Q1892" s="295"/>
      <c r="R1892" s="295"/>
      <c r="S1892" s="295"/>
      <c r="T1892" s="295"/>
      <c r="U1892" s="295"/>
      <c r="V1892" s="295"/>
      <c r="W1892" s="295"/>
      <c r="X1892" s="295"/>
      <c r="Y1892" s="295"/>
      <c r="Z1892" s="295"/>
      <c r="AA1892" s="295"/>
      <c r="AB1892" s="295"/>
      <c r="AC1892" s="295"/>
      <c r="AD1892" s="295"/>
      <c r="AE1892" s="295"/>
      <c r="AF1892" s="295"/>
      <c r="AG1892" s="295"/>
      <c r="AH1892" s="295"/>
      <c r="AI1892" s="295"/>
      <c r="AJ1892" s="295"/>
    </row>
    <row r="1893" spans="1:36" s="291" customFormat="1" ht="16.2">
      <c r="A1893" s="304"/>
      <c r="B1893" s="289"/>
      <c r="C1893" s="290"/>
      <c r="E1893" s="453"/>
      <c r="G1893" s="454"/>
      <c r="I1893" s="295"/>
      <c r="J1893" s="295"/>
      <c r="K1893" s="295"/>
      <c r="L1893" s="295"/>
      <c r="M1893" s="302"/>
      <c r="N1893" s="302"/>
      <c r="O1893" s="303"/>
      <c r="P1893" s="295"/>
      <c r="Q1893" s="295"/>
      <c r="R1893" s="295"/>
      <c r="S1893" s="295"/>
      <c r="T1893" s="295"/>
      <c r="U1893" s="295"/>
      <c r="V1893" s="295"/>
      <c r="W1893" s="295"/>
      <c r="X1893" s="295"/>
      <c r="Y1893" s="295"/>
      <c r="Z1893" s="295"/>
      <c r="AA1893" s="295"/>
      <c r="AB1893" s="295"/>
      <c r="AC1893" s="295"/>
      <c r="AD1893" s="295"/>
      <c r="AE1893" s="295"/>
      <c r="AF1893" s="295"/>
      <c r="AG1893" s="295"/>
      <c r="AH1893" s="295"/>
      <c r="AI1893" s="295"/>
      <c r="AJ1893" s="295"/>
    </row>
    <row r="1894" spans="1:36" s="291" customFormat="1" ht="16.2">
      <c r="A1894" s="304"/>
      <c r="B1894" s="289"/>
      <c r="C1894" s="290"/>
      <c r="E1894" s="453"/>
      <c r="G1894" s="454"/>
      <c r="I1894" s="295"/>
      <c r="J1894" s="295"/>
      <c r="K1894" s="295"/>
      <c r="L1894" s="295"/>
      <c r="M1894" s="302"/>
      <c r="N1894" s="302"/>
      <c r="O1894" s="303"/>
      <c r="P1894" s="295"/>
      <c r="Q1894" s="295"/>
      <c r="R1894" s="295"/>
      <c r="S1894" s="295"/>
      <c r="T1894" s="295"/>
      <c r="U1894" s="295"/>
      <c r="V1894" s="295"/>
      <c r="W1894" s="295"/>
      <c r="X1894" s="295"/>
      <c r="Y1894" s="295"/>
      <c r="Z1894" s="295"/>
      <c r="AA1894" s="295"/>
      <c r="AB1894" s="295"/>
      <c r="AC1894" s="295"/>
      <c r="AD1894" s="295"/>
      <c r="AE1894" s="295"/>
      <c r="AF1894" s="295"/>
      <c r="AG1894" s="295"/>
      <c r="AH1894" s="295"/>
      <c r="AI1894" s="295"/>
      <c r="AJ1894" s="295"/>
    </row>
    <row r="1895" spans="1:36" s="291" customFormat="1" ht="16.2">
      <c r="A1895" s="304"/>
      <c r="B1895" s="289"/>
      <c r="C1895" s="290"/>
      <c r="E1895" s="453"/>
      <c r="G1895" s="454"/>
      <c r="I1895" s="295"/>
      <c r="J1895" s="295"/>
      <c r="K1895" s="295"/>
      <c r="L1895" s="295"/>
      <c r="M1895" s="302"/>
      <c r="N1895" s="302"/>
      <c r="O1895" s="303"/>
      <c r="P1895" s="295"/>
      <c r="Q1895" s="295"/>
      <c r="R1895" s="295"/>
      <c r="S1895" s="295"/>
      <c r="T1895" s="295"/>
      <c r="U1895" s="295"/>
      <c r="V1895" s="295"/>
      <c r="W1895" s="295"/>
      <c r="X1895" s="295"/>
      <c r="Y1895" s="295"/>
      <c r="Z1895" s="295"/>
      <c r="AA1895" s="295"/>
      <c r="AB1895" s="295"/>
      <c r="AC1895" s="295"/>
      <c r="AD1895" s="295"/>
      <c r="AE1895" s="295"/>
      <c r="AF1895" s="295"/>
      <c r="AG1895" s="295"/>
      <c r="AH1895" s="295"/>
      <c r="AI1895" s="295"/>
      <c r="AJ1895" s="295"/>
    </row>
    <row r="1896" spans="1:36" s="291" customFormat="1" ht="16.2">
      <c r="A1896" s="304"/>
      <c r="B1896" s="289"/>
      <c r="C1896" s="290"/>
      <c r="E1896" s="453"/>
      <c r="G1896" s="454"/>
      <c r="I1896" s="295"/>
      <c r="J1896" s="295"/>
      <c r="K1896" s="295"/>
      <c r="L1896" s="295"/>
      <c r="M1896" s="302"/>
      <c r="N1896" s="302"/>
      <c r="O1896" s="303"/>
      <c r="P1896" s="295"/>
      <c r="Q1896" s="295"/>
      <c r="R1896" s="295"/>
      <c r="S1896" s="295"/>
      <c r="T1896" s="295"/>
      <c r="U1896" s="295"/>
      <c r="V1896" s="295"/>
      <c r="W1896" s="295"/>
      <c r="X1896" s="295"/>
      <c r="Y1896" s="295"/>
      <c r="Z1896" s="295"/>
      <c r="AA1896" s="295"/>
      <c r="AB1896" s="295"/>
      <c r="AC1896" s="295"/>
      <c r="AD1896" s="295"/>
      <c r="AE1896" s="295"/>
      <c r="AF1896" s="295"/>
      <c r="AG1896" s="295"/>
      <c r="AH1896" s="295"/>
      <c r="AI1896" s="295"/>
      <c r="AJ1896" s="295"/>
    </row>
    <row r="1897" spans="1:36" s="291" customFormat="1" ht="16.2">
      <c r="A1897" s="304"/>
      <c r="B1897" s="289"/>
      <c r="C1897" s="290"/>
      <c r="E1897" s="453"/>
      <c r="G1897" s="454"/>
      <c r="I1897" s="295"/>
      <c r="J1897" s="295"/>
      <c r="K1897" s="295"/>
      <c r="L1897" s="295"/>
      <c r="M1897" s="302"/>
      <c r="N1897" s="302"/>
      <c r="O1897" s="303"/>
      <c r="P1897" s="295"/>
      <c r="Q1897" s="295"/>
      <c r="R1897" s="295"/>
      <c r="S1897" s="295"/>
      <c r="T1897" s="295"/>
      <c r="U1897" s="295"/>
      <c r="V1897" s="295"/>
      <c r="W1897" s="295"/>
      <c r="X1897" s="295"/>
      <c r="Y1897" s="295"/>
      <c r="Z1897" s="295"/>
      <c r="AA1897" s="295"/>
      <c r="AB1897" s="295"/>
      <c r="AC1897" s="295"/>
      <c r="AD1897" s="295"/>
      <c r="AE1897" s="295"/>
      <c r="AF1897" s="295"/>
      <c r="AG1897" s="295"/>
      <c r="AH1897" s="295"/>
      <c r="AI1897" s="295"/>
      <c r="AJ1897" s="295"/>
    </row>
    <row r="1898" spans="1:36" s="291" customFormat="1" ht="16.2">
      <c r="A1898" s="304"/>
      <c r="B1898" s="289"/>
      <c r="C1898" s="290"/>
      <c r="E1898" s="453"/>
      <c r="G1898" s="454"/>
      <c r="I1898" s="295"/>
      <c r="J1898" s="295"/>
      <c r="K1898" s="295"/>
      <c r="L1898" s="295"/>
      <c r="M1898" s="302"/>
      <c r="N1898" s="302"/>
      <c r="O1898" s="303"/>
      <c r="P1898" s="295"/>
      <c r="Q1898" s="295"/>
      <c r="R1898" s="295"/>
      <c r="S1898" s="295"/>
      <c r="T1898" s="295"/>
      <c r="U1898" s="295"/>
      <c r="V1898" s="295"/>
      <c r="W1898" s="295"/>
      <c r="X1898" s="295"/>
      <c r="Y1898" s="295"/>
      <c r="Z1898" s="295"/>
      <c r="AA1898" s="295"/>
      <c r="AB1898" s="295"/>
      <c r="AC1898" s="295"/>
      <c r="AD1898" s="295"/>
      <c r="AE1898" s="295"/>
      <c r="AF1898" s="295"/>
      <c r="AG1898" s="295"/>
      <c r="AH1898" s="295"/>
      <c r="AI1898" s="295"/>
      <c r="AJ1898" s="295"/>
    </row>
    <row r="1899" spans="1:36" s="291" customFormat="1" ht="16.2">
      <c r="A1899" s="304"/>
      <c r="B1899" s="289"/>
      <c r="C1899" s="290"/>
      <c r="E1899" s="453"/>
      <c r="G1899" s="454"/>
      <c r="I1899" s="295"/>
      <c r="J1899" s="295"/>
      <c r="K1899" s="295"/>
      <c r="L1899" s="295"/>
      <c r="M1899" s="302"/>
      <c r="N1899" s="302"/>
      <c r="O1899" s="303"/>
      <c r="P1899" s="295"/>
      <c r="Q1899" s="295"/>
      <c r="R1899" s="295"/>
      <c r="S1899" s="295"/>
      <c r="T1899" s="295"/>
      <c r="U1899" s="295"/>
      <c r="V1899" s="295"/>
      <c r="W1899" s="295"/>
      <c r="X1899" s="295"/>
      <c r="Y1899" s="295"/>
      <c r="Z1899" s="295"/>
      <c r="AA1899" s="295"/>
      <c r="AB1899" s="295"/>
      <c r="AC1899" s="295"/>
      <c r="AD1899" s="295"/>
      <c r="AE1899" s="295"/>
      <c r="AF1899" s="295"/>
      <c r="AG1899" s="295"/>
      <c r="AH1899" s="295"/>
      <c r="AI1899" s="295"/>
      <c r="AJ1899" s="295"/>
    </row>
    <row r="1900" spans="1:36" s="291" customFormat="1" ht="16.2">
      <c r="A1900" s="304"/>
      <c r="B1900" s="289"/>
      <c r="C1900" s="290"/>
      <c r="E1900" s="453"/>
      <c r="G1900" s="454"/>
      <c r="I1900" s="295"/>
      <c r="J1900" s="295"/>
      <c r="K1900" s="295"/>
      <c r="L1900" s="295"/>
      <c r="M1900" s="302"/>
      <c r="N1900" s="302"/>
      <c r="O1900" s="303"/>
      <c r="P1900" s="295"/>
      <c r="Q1900" s="295"/>
      <c r="R1900" s="295"/>
      <c r="S1900" s="295"/>
      <c r="T1900" s="295"/>
      <c r="U1900" s="295"/>
      <c r="V1900" s="295"/>
      <c r="W1900" s="295"/>
      <c r="X1900" s="295"/>
      <c r="Y1900" s="295"/>
      <c r="Z1900" s="295"/>
      <c r="AA1900" s="295"/>
      <c r="AB1900" s="295"/>
      <c r="AC1900" s="295"/>
      <c r="AD1900" s="295"/>
      <c r="AE1900" s="295"/>
      <c r="AF1900" s="295"/>
      <c r="AG1900" s="295"/>
      <c r="AH1900" s="295"/>
      <c r="AI1900" s="295"/>
      <c r="AJ1900" s="295"/>
    </row>
    <row r="1901" spans="1:36" s="291" customFormat="1" ht="16.2">
      <c r="A1901" s="304"/>
      <c r="B1901" s="289"/>
      <c r="C1901" s="290"/>
      <c r="E1901" s="453"/>
      <c r="G1901" s="454"/>
      <c r="I1901" s="295"/>
      <c r="J1901" s="295"/>
      <c r="K1901" s="295"/>
      <c r="L1901" s="295"/>
      <c r="M1901" s="302"/>
      <c r="N1901" s="302"/>
      <c r="O1901" s="303"/>
      <c r="P1901" s="295"/>
      <c r="Q1901" s="295"/>
      <c r="R1901" s="295"/>
      <c r="S1901" s="295"/>
      <c r="T1901" s="295"/>
      <c r="U1901" s="295"/>
      <c r="V1901" s="295"/>
      <c r="W1901" s="295"/>
      <c r="X1901" s="295"/>
      <c r="Y1901" s="295"/>
      <c r="Z1901" s="295"/>
      <c r="AA1901" s="295"/>
      <c r="AB1901" s="295"/>
      <c r="AC1901" s="295"/>
      <c r="AD1901" s="295"/>
      <c r="AE1901" s="295"/>
      <c r="AF1901" s="295"/>
      <c r="AG1901" s="295"/>
      <c r="AH1901" s="295"/>
      <c r="AI1901" s="295"/>
      <c r="AJ1901" s="295"/>
    </row>
    <row r="1902" spans="1:36" s="291" customFormat="1" ht="16.2">
      <c r="A1902" s="304"/>
      <c r="B1902" s="289"/>
      <c r="C1902" s="290"/>
      <c r="E1902" s="453"/>
      <c r="G1902" s="454"/>
      <c r="I1902" s="295"/>
      <c r="J1902" s="295"/>
      <c r="K1902" s="295"/>
      <c r="L1902" s="295"/>
      <c r="M1902" s="302"/>
      <c r="N1902" s="302"/>
      <c r="O1902" s="303"/>
      <c r="P1902" s="295"/>
      <c r="Q1902" s="295"/>
      <c r="R1902" s="295"/>
      <c r="S1902" s="295"/>
      <c r="T1902" s="295"/>
      <c r="U1902" s="295"/>
      <c r="V1902" s="295"/>
      <c r="W1902" s="295"/>
      <c r="X1902" s="295"/>
      <c r="Y1902" s="295"/>
      <c r="Z1902" s="295"/>
      <c r="AA1902" s="295"/>
      <c r="AB1902" s="295"/>
      <c r="AC1902" s="295"/>
      <c r="AD1902" s="295"/>
      <c r="AE1902" s="295"/>
      <c r="AF1902" s="295"/>
      <c r="AG1902" s="295"/>
      <c r="AH1902" s="295"/>
      <c r="AI1902" s="295"/>
      <c r="AJ1902" s="295"/>
    </row>
    <row r="1903" spans="1:36" s="291" customFormat="1" ht="16.2">
      <c r="A1903" s="304"/>
      <c r="B1903" s="289"/>
      <c r="C1903" s="290"/>
      <c r="E1903" s="453"/>
      <c r="G1903" s="454"/>
      <c r="I1903" s="295"/>
      <c r="J1903" s="295"/>
      <c r="K1903" s="295"/>
      <c r="L1903" s="295"/>
      <c r="M1903" s="302"/>
      <c r="N1903" s="302"/>
      <c r="O1903" s="303"/>
      <c r="P1903" s="295"/>
      <c r="Q1903" s="295"/>
      <c r="R1903" s="295"/>
      <c r="S1903" s="295"/>
      <c r="T1903" s="295"/>
      <c r="U1903" s="295"/>
      <c r="V1903" s="295"/>
      <c r="W1903" s="295"/>
      <c r="X1903" s="295"/>
      <c r="Y1903" s="295"/>
      <c r="Z1903" s="295"/>
      <c r="AA1903" s="295"/>
      <c r="AB1903" s="295"/>
      <c r="AC1903" s="295"/>
      <c r="AD1903" s="295"/>
      <c r="AE1903" s="295"/>
      <c r="AF1903" s="295"/>
      <c r="AG1903" s="295"/>
      <c r="AH1903" s="295"/>
      <c r="AI1903" s="295"/>
      <c r="AJ1903" s="295"/>
    </row>
    <row r="1904" spans="1:36" s="291" customFormat="1" ht="16.2">
      <c r="A1904" s="304"/>
      <c r="B1904" s="289"/>
      <c r="C1904" s="290"/>
      <c r="E1904" s="453"/>
      <c r="G1904" s="454"/>
      <c r="I1904" s="295"/>
      <c r="J1904" s="295"/>
      <c r="K1904" s="295"/>
      <c r="L1904" s="295"/>
      <c r="M1904" s="302"/>
      <c r="N1904" s="302"/>
      <c r="O1904" s="303"/>
      <c r="P1904" s="295"/>
      <c r="Q1904" s="295"/>
      <c r="R1904" s="295"/>
      <c r="S1904" s="295"/>
      <c r="T1904" s="295"/>
      <c r="U1904" s="295"/>
      <c r="V1904" s="295"/>
      <c r="W1904" s="295"/>
      <c r="X1904" s="295"/>
      <c r="Y1904" s="295"/>
      <c r="Z1904" s="295"/>
      <c r="AA1904" s="295"/>
      <c r="AB1904" s="295"/>
      <c r="AC1904" s="295"/>
      <c r="AD1904" s="295"/>
      <c r="AE1904" s="295"/>
      <c r="AF1904" s="295"/>
      <c r="AG1904" s="295"/>
      <c r="AH1904" s="295"/>
      <c r="AI1904" s="295"/>
      <c r="AJ1904" s="295"/>
    </row>
    <row r="1905" spans="1:36" s="291" customFormat="1" ht="16.2">
      <c r="A1905" s="304"/>
      <c r="B1905" s="289"/>
      <c r="C1905" s="290"/>
      <c r="E1905" s="453"/>
      <c r="G1905" s="454"/>
      <c r="I1905" s="295"/>
      <c r="J1905" s="295"/>
      <c r="K1905" s="295"/>
      <c r="L1905" s="295"/>
      <c r="M1905" s="302"/>
      <c r="N1905" s="302"/>
      <c r="O1905" s="303"/>
      <c r="P1905" s="295"/>
      <c r="Q1905" s="295"/>
      <c r="R1905" s="295"/>
      <c r="S1905" s="295"/>
      <c r="T1905" s="295"/>
      <c r="U1905" s="295"/>
      <c r="V1905" s="295"/>
      <c r="W1905" s="295"/>
      <c r="X1905" s="295"/>
      <c r="Y1905" s="295"/>
      <c r="Z1905" s="295"/>
      <c r="AA1905" s="295"/>
      <c r="AB1905" s="295"/>
      <c r="AC1905" s="295"/>
      <c r="AD1905" s="295"/>
      <c r="AE1905" s="295"/>
      <c r="AF1905" s="295"/>
      <c r="AG1905" s="295"/>
      <c r="AH1905" s="295"/>
      <c r="AI1905" s="295"/>
      <c r="AJ1905" s="295"/>
    </row>
    <row r="1906" spans="1:36" s="291" customFormat="1" ht="16.2">
      <c r="A1906" s="304"/>
      <c r="B1906" s="289"/>
      <c r="C1906" s="290"/>
      <c r="E1906" s="453"/>
      <c r="G1906" s="454"/>
      <c r="I1906" s="295"/>
      <c r="J1906" s="295"/>
      <c r="K1906" s="295"/>
      <c r="L1906" s="295"/>
      <c r="M1906" s="302"/>
      <c r="N1906" s="302"/>
      <c r="O1906" s="303"/>
      <c r="P1906" s="295"/>
      <c r="Q1906" s="295"/>
      <c r="R1906" s="295"/>
      <c r="S1906" s="295"/>
      <c r="T1906" s="295"/>
      <c r="U1906" s="295"/>
      <c r="V1906" s="295"/>
      <c r="W1906" s="295"/>
      <c r="X1906" s="295"/>
      <c r="Y1906" s="295"/>
      <c r="Z1906" s="295"/>
      <c r="AA1906" s="295"/>
      <c r="AB1906" s="295"/>
      <c r="AC1906" s="295"/>
      <c r="AD1906" s="295"/>
      <c r="AE1906" s="295"/>
      <c r="AF1906" s="295"/>
      <c r="AG1906" s="295"/>
      <c r="AH1906" s="295"/>
      <c r="AI1906" s="295"/>
      <c r="AJ1906" s="295"/>
    </row>
    <row r="1907" spans="1:36" s="291" customFormat="1" ht="16.2">
      <c r="A1907" s="304"/>
      <c r="B1907" s="289"/>
      <c r="C1907" s="290"/>
      <c r="E1907" s="453"/>
      <c r="G1907" s="454"/>
      <c r="I1907" s="295"/>
      <c r="J1907" s="295"/>
      <c r="K1907" s="295"/>
      <c r="L1907" s="295"/>
      <c r="M1907" s="302"/>
      <c r="N1907" s="302"/>
      <c r="O1907" s="303"/>
      <c r="P1907" s="295"/>
      <c r="Q1907" s="295"/>
      <c r="R1907" s="295"/>
      <c r="S1907" s="295"/>
      <c r="T1907" s="295"/>
      <c r="U1907" s="295"/>
      <c r="V1907" s="295"/>
      <c r="W1907" s="295"/>
      <c r="X1907" s="295"/>
      <c r="Y1907" s="295"/>
      <c r="Z1907" s="295"/>
      <c r="AA1907" s="295"/>
      <c r="AB1907" s="295"/>
      <c r="AC1907" s="295"/>
      <c r="AD1907" s="295"/>
      <c r="AE1907" s="295"/>
      <c r="AF1907" s="295"/>
      <c r="AG1907" s="295"/>
      <c r="AH1907" s="295"/>
      <c r="AI1907" s="295"/>
      <c r="AJ1907" s="295"/>
    </row>
    <row r="1908" spans="1:36" s="291" customFormat="1" ht="16.2">
      <c r="A1908" s="304"/>
      <c r="B1908" s="289"/>
      <c r="C1908" s="290"/>
      <c r="E1908" s="453"/>
      <c r="G1908" s="454"/>
      <c r="I1908" s="295"/>
      <c r="J1908" s="295"/>
      <c r="K1908" s="295"/>
      <c r="L1908" s="295"/>
      <c r="M1908" s="302"/>
      <c r="N1908" s="302"/>
      <c r="O1908" s="303"/>
      <c r="P1908" s="295"/>
      <c r="Q1908" s="295"/>
      <c r="R1908" s="295"/>
      <c r="S1908" s="295"/>
      <c r="T1908" s="295"/>
      <c r="U1908" s="295"/>
      <c r="V1908" s="295"/>
      <c r="W1908" s="295"/>
      <c r="X1908" s="295"/>
      <c r="Y1908" s="295"/>
      <c r="Z1908" s="295"/>
      <c r="AA1908" s="295"/>
      <c r="AB1908" s="295"/>
      <c r="AC1908" s="295"/>
      <c r="AD1908" s="295"/>
      <c r="AE1908" s="295"/>
      <c r="AF1908" s="295"/>
      <c r="AG1908" s="295"/>
      <c r="AH1908" s="295"/>
      <c r="AI1908" s="295"/>
      <c r="AJ1908" s="295"/>
    </row>
    <row r="1909" spans="1:36" s="291" customFormat="1" ht="16.2">
      <c r="A1909" s="304"/>
      <c r="B1909" s="289"/>
      <c r="C1909" s="290"/>
      <c r="E1909" s="453"/>
      <c r="G1909" s="454"/>
      <c r="I1909" s="295"/>
      <c r="J1909" s="295"/>
      <c r="K1909" s="295"/>
      <c r="L1909" s="295"/>
      <c r="M1909" s="302"/>
      <c r="N1909" s="302"/>
      <c r="O1909" s="303"/>
      <c r="P1909" s="295"/>
      <c r="Q1909" s="295"/>
      <c r="R1909" s="295"/>
      <c r="S1909" s="295"/>
      <c r="T1909" s="295"/>
      <c r="U1909" s="295"/>
      <c r="V1909" s="295"/>
      <c r="W1909" s="295"/>
      <c r="X1909" s="295"/>
      <c r="Y1909" s="295"/>
      <c r="Z1909" s="295"/>
      <c r="AA1909" s="295"/>
      <c r="AB1909" s="295"/>
      <c r="AC1909" s="295"/>
      <c r="AD1909" s="295"/>
      <c r="AE1909" s="295"/>
      <c r="AF1909" s="295"/>
      <c r="AG1909" s="295"/>
      <c r="AH1909" s="295"/>
      <c r="AI1909" s="295"/>
      <c r="AJ1909" s="295"/>
    </row>
    <row r="1910" spans="1:36" s="291" customFormat="1" ht="16.2">
      <c r="A1910" s="304"/>
      <c r="B1910" s="289"/>
      <c r="C1910" s="290"/>
      <c r="E1910" s="453"/>
      <c r="G1910" s="454"/>
      <c r="I1910" s="295"/>
      <c r="J1910" s="295"/>
      <c r="K1910" s="295"/>
      <c r="L1910" s="295"/>
      <c r="M1910" s="302"/>
      <c r="N1910" s="302"/>
      <c r="O1910" s="303"/>
      <c r="P1910" s="295"/>
      <c r="Q1910" s="295"/>
      <c r="R1910" s="295"/>
      <c r="S1910" s="295"/>
      <c r="T1910" s="295"/>
      <c r="U1910" s="295"/>
      <c r="V1910" s="295"/>
      <c r="W1910" s="295"/>
      <c r="X1910" s="295"/>
      <c r="Y1910" s="295"/>
      <c r="Z1910" s="295"/>
      <c r="AA1910" s="295"/>
      <c r="AB1910" s="295"/>
      <c r="AC1910" s="295"/>
      <c r="AD1910" s="295"/>
      <c r="AE1910" s="295"/>
      <c r="AF1910" s="295"/>
      <c r="AG1910" s="295"/>
      <c r="AH1910" s="295"/>
      <c r="AI1910" s="295"/>
      <c r="AJ1910" s="295"/>
    </row>
    <row r="1911" spans="1:36" s="291" customFormat="1" ht="16.2">
      <c r="A1911" s="304"/>
      <c r="B1911" s="289"/>
      <c r="C1911" s="290"/>
      <c r="E1911" s="453"/>
      <c r="G1911" s="454"/>
      <c r="I1911" s="295"/>
      <c r="J1911" s="295"/>
      <c r="K1911" s="295"/>
      <c r="L1911" s="295"/>
      <c r="M1911" s="302"/>
      <c r="N1911" s="302"/>
      <c r="O1911" s="303"/>
      <c r="P1911" s="295"/>
      <c r="Q1911" s="295"/>
      <c r="R1911" s="295"/>
      <c r="S1911" s="295"/>
      <c r="T1911" s="295"/>
      <c r="U1911" s="295"/>
      <c r="V1911" s="295"/>
      <c r="W1911" s="295"/>
      <c r="X1911" s="295"/>
      <c r="Y1911" s="295"/>
      <c r="Z1911" s="295"/>
      <c r="AA1911" s="295"/>
      <c r="AB1911" s="295"/>
      <c r="AC1911" s="295"/>
      <c r="AD1911" s="295"/>
      <c r="AE1911" s="295"/>
      <c r="AF1911" s="295"/>
      <c r="AG1911" s="295"/>
      <c r="AH1911" s="295"/>
      <c r="AI1911" s="295"/>
      <c r="AJ1911" s="295"/>
    </row>
    <row r="1912" spans="1:36" s="291" customFormat="1" ht="16.2">
      <c r="A1912" s="304"/>
      <c r="B1912" s="289"/>
      <c r="C1912" s="290"/>
      <c r="E1912" s="453"/>
      <c r="G1912" s="454"/>
      <c r="I1912" s="295"/>
      <c r="J1912" s="295"/>
      <c r="K1912" s="295"/>
      <c r="L1912" s="295"/>
      <c r="M1912" s="302"/>
      <c r="N1912" s="302"/>
      <c r="O1912" s="303"/>
      <c r="P1912" s="295"/>
      <c r="Q1912" s="295"/>
      <c r="R1912" s="295"/>
      <c r="S1912" s="295"/>
      <c r="T1912" s="295"/>
      <c r="U1912" s="295"/>
      <c r="V1912" s="295"/>
      <c r="W1912" s="295"/>
      <c r="X1912" s="295"/>
      <c r="Y1912" s="295"/>
      <c r="Z1912" s="295"/>
      <c r="AA1912" s="295"/>
      <c r="AB1912" s="295"/>
      <c r="AC1912" s="295"/>
      <c r="AD1912" s="295"/>
      <c r="AE1912" s="295"/>
      <c r="AF1912" s="295"/>
      <c r="AG1912" s="295"/>
      <c r="AH1912" s="295"/>
      <c r="AI1912" s="295"/>
      <c r="AJ1912" s="295"/>
    </row>
    <row r="1913" spans="1:36" s="291" customFormat="1" ht="16.2">
      <c r="A1913" s="304"/>
      <c r="B1913" s="289"/>
      <c r="C1913" s="290"/>
      <c r="E1913" s="453"/>
      <c r="G1913" s="454"/>
      <c r="I1913" s="295"/>
      <c r="J1913" s="295"/>
      <c r="K1913" s="295"/>
      <c r="L1913" s="295"/>
      <c r="M1913" s="302"/>
      <c r="N1913" s="302"/>
      <c r="O1913" s="303"/>
      <c r="P1913" s="295"/>
      <c r="Q1913" s="295"/>
      <c r="R1913" s="295"/>
      <c r="S1913" s="295"/>
      <c r="T1913" s="295"/>
      <c r="U1913" s="295"/>
      <c r="V1913" s="295"/>
      <c r="W1913" s="295"/>
      <c r="X1913" s="295"/>
      <c r="Y1913" s="295"/>
      <c r="Z1913" s="295"/>
      <c r="AA1913" s="295"/>
      <c r="AB1913" s="295"/>
      <c r="AC1913" s="295"/>
      <c r="AD1913" s="295"/>
      <c r="AE1913" s="295"/>
      <c r="AF1913" s="295"/>
      <c r="AG1913" s="295"/>
      <c r="AH1913" s="295"/>
      <c r="AI1913" s="295"/>
      <c r="AJ1913" s="295"/>
    </row>
    <row r="1914" spans="1:36" s="291" customFormat="1" ht="16.2">
      <c r="A1914" s="304"/>
      <c r="B1914" s="289"/>
      <c r="C1914" s="290"/>
      <c r="E1914" s="453"/>
      <c r="G1914" s="454"/>
      <c r="I1914" s="295"/>
      <c r="J1914" s="295"/>
      <c r="K1914" s="295"/>
      <c r="L1914" s="295"/>
      <c r="M1914" s="302"/>
      <c r="N1914" s="302"/>
      <c r="O1914" s="303"/>
      <c r="P1914" s="295"/>
      <c r="Q1914" s="295"/>
      <c r="R1914" s="295"/>
      <c r="S1914" s="295"/>
      <c r="T1914" s="295"/>
      <c r="U1914" s="295"/>
      <c r="V1914" s="295"/>
      <c r="W1914" s="295"/>
      <c r="X1914" s="295"/>
      <c r="Y1914" s="295"/>
      <c r="Z1914" s="295"/>
      <c r="AA1914" s="295"/>
      <c r="AB1914" s="295"/>
      <c r="AC1914" s="295"/>
      <c r="AD1914" s="295"/>
      <c r="AE1914" s="295"/>
      <c r="AF1914" s="295"/>
      <c r="AG1914" s="295"/>
      <c r="AH1914" s="295"/>
      <c r="AI1914" s="295"/>
      <c r="AJ1914" s="295"/>
    </row>
    <row r="1915" spans="1:36" s="291" customFormat="1" ht="16.2">
      <c r="A1915" s="304"/>
      <c r="B1915" s="289"/>
      <c r="C1915" s="290"/>
      <c r="E1915" s="453"/>
      <c r="G1915" s="454"/>
      <c r="I1915" s="295"/>
      <c r="J1915" s="295"/>
      <c r="K1915" s="295"/>
      <c r="L1915" s="295"/>
      <c r="M1915" s="302"/>
      <c r="N1915" s="302"/>
      <c r="O1915" s="303"/>
      <c r="P1915" s="295"/>
      <c r="Q1915" s="295"/>
      <c r="R1915" s="295"/>
      <c r="S1915" s="295"/>
      <c r="T1915" s="295"/>
      <c r="U1915" s="295"/>
      <c r="V1915" s="295"/>
      <c r="W1915" s="295"/>
      <c r="X1915" s="295"/>
      <c r="Y1915" s="295"/>
      <c r="Z1915" s="295"/>
      <c r="AA1915" s="295"/>
      <c r="AB1915" s="295"/>
      <c r="AC1915" s="295"/>
      <c r="AD1915" s="295"/>
      <c r="AE1915" s="295"/>
      <c r="AF1915" s="295"/>
      <c r="AG1915" s="295"/>
      <c r="AH1915" s="295"/>
      <c r="AI1915" s="295"/>
      <c r="AJ1915" s="295"/>
    </row>
    <row r="1916" spans="1:36" s="291" customFormat="1" ht="16.2">
      <c r="A1916" s="304"/>
      <c r="B1916" s="289"/>
      <c r="C1916" s="290"/>
      <c r="E1916" s="453"/>
      <c r="G1916" s="454"/>
      <c r="I1916" s="295"/>
      <c r="J1916" s="295"/>
      <c r="K1916" s="295"/>
      <c r="L1916" s="295"/>
      <c r="M1916" s="302"/>
      <c r="N1916" s="302"/>
      <c r="O1916" s="303"/>
      <c r="P1916" s="295"/>
      <c r="Q1916" s="295"/>
      <c r="R1916" s="295"/>
      <c r="S1916" s="295"/>
      <c r="T1916" s="295"/>
      <c r="U1916" s="295"/>
      <c r="V1916" s="295"/>
      <c r="W1916" s="295"/>
      <c r="X1916" s="295"/>
      <c r="Y1916" s="295"/>
      <c r="Z1916" s="295"/>
      <c r="AA1916" s="295"/>
      <c r="AB1916" s="295"/>
      <c r="AC1916" s="295"/>
      <c r="AD1916" s="295"/>
      <c r="AE1916" s="295"/>
      <c r="AF1916" s="295"/>
      <c r="AG1916" s="295"/>
      <c r="AH1916" s="295"/>
      <c r="AI1916" s="295"/>
      <c r="AJ1916" s="295"/>
    </row>
    <row r="1917" spans="1:36" s="291" customFormat="1" ht="16.2">
      <c r="A1917" s="304"/>
      <c r="B1917" s="289"/>
      <c r="C1917" s="290"/>
      <c r="E1917" s="453"/>
      <c r="G1917" s="454"/>
      <c r="I1917" s="295"/>
      <c r="J1917" s="295"/>
      <c r="K1917" s="295"/>
      <c r="L1917" s="295"/>
      <c r="M1917" s="302"/>
      <c r="N1917" s="302"/>
      <c r="O1917" s="303"/>
      <c r="P1917" s="295"/>
      <c r="Q1917" s="295"/>
      <c r="R1917" s="295"/>
      <c r="S1917" s="295"/>
      <c r="T1917" s="295"/>
      <c r="U1917" s="295"/>
      <c r="V1917" s="295"/>
      <c r="W1917" s="295"/>
      <c r="X1917" s="295"/>
      <c r="Y1917" s="295"/>
      <c r="Z1917" s="295"/>
      <c r="AA1917" s="295"/>
      <c r="AB1917" s="295"/>
      <c r="AC1917" s="295"/>
      <c r="AD1917" s="295"/>
      <c r="AE1917" s="295"/>
      <c r="AF1917" s="295"/>
      <c r="AG1917" s="295"/>
      <c r="AH1917" s="295"/>
      <c r="AI1917" s="295"/>
      <c r="AJ1917" s="295"/>
    </row>
    <row r="1918" spans="1:36" s="291" customFormat="1" ht="16.2">
      <c r="A1918" s="304"/>
      <c r="B1918" s="289"/>
      <c r="C1918" s="290"/>
      <c r="E1918" s="453"/>
      <c r="G1918" s="454"/>
      <c r="I1918" s="295"/>
      <c r="J1918" s="295"/>
      <c r="K1918" s="295"/>
      <c r="L1918" s="295"/>
      <c r="M1918" s="302"/>
      <c r="N1918" s="302"/>
      <c r="O1918" s="303"/>
      <c r="P1918" s="295"/>
      <c r="Q1918" s="295"/>
      <c r="R1918" s="295"/>
      <c r="S1918" s="295"/>
      <c r="T1918" s="295"/>
      <c r="U1918" s="295"/>
      <c r="V1918" s="295"/>
      <c r="W1918" s="295"/>
      <c r="X1918" s="295"/>
      <c r="Y1918" s="295"/>
      <c r="Z1918" s="295"/>
      <c r="AA1918" s="295"/>
      <c r="AB1918" s="295"/>
      <c r="AC1918" s="295"/>
      <c r="AD1918" s="295"/>
      <c r="AE1918" s="295"/>
      <c r="AF1918" s="295"/>
      <c r="AG1918" s="295"/>
      <c r="AH1918" s="295"/>
      <c r="AI1918" s="295"/>
      <c r="AJ1918" s="295"/>
    </row>
    <row r="1919" spans="1:36" s="291" customFormat="1" ht="16.2">
      <c r="A1919" s="304"/>
      <c r="B1919" s="289"/>
      <c r="C1919" s="290"/>
      <c r="E1919" s="453"/>
      <c r="G1919" s="454"/>
      <c r="I1919" s="295"/>
      <c r="J1919" s="295"/>
      <c r="K1919" s="295"/>
      <c r="L1919" s="295"/>
      <c r="M1919" s="302"/>
      <c r="N1919" s="302"/>
      <c r="O1919" s="303"/>
      <c r="P1919" s="295"/>
      <c r="Q1919" s="295"/>
      <c r="R1919" s="295"/>
      <c r="S1919" s="295"/>
      <c r="T1919" s="295"/>
      <c r="U1919" s="295"/>
      <c r="V1919" s="295"/>
      <c r="W1919" s="295"/>
      <c r="X1919" s="295"/>
      <c r="Y1919" s="295"/>
      <c r="Z1919" s="295"/>
      <c r="AA1919" s="295"/>
      <c r="AB1919" s="295"/>
      <c r="AC1919" s="295"/>
      <c r="AD1919" s="295"/>
      <c r="AE1919" s="295"/>
      <c r="AF1919" s="295"/>
      <c r="AG1919" s="295"/>
      <c r="AH1919" s="295"/>
      <c r="AI1919" s="295"/>
      <c r="AJ1919" s="295"/>
    </row>
    <row r="1920" spans="1:36" s="291" customFormat="1" ht="16.2">
      <c r="A1920" s="304"/>
      <c r="B1920" s="289"/>
      <c r="C1920" s="290"/>
      <c r="E1920" s="453"/>
      <c r="G1920" s="454"/>
      <c r="I1920" s="295"/>
      <c r="J1920" s="295"/>
      <c r="K1920" s="295"/>
      <c r="L1920" s="295"/>
      <c r="M1920" s="302"/>
      <c r="N1920" s="302"/>
      <c r="O1920" s="303"/>
      <c r="P1920" s="295"/>
      <c r="Q1920" s="295"/>
      <c r="R1920" s="295"/>
      <c r="S1920" s="295"/>
      <c r="T1920" s="295"/>
      <c r="U1920" s="295"/>
      <c r="V1920" s="295"/>
      <c r="W1920" s="295"/>
      <c r="X1920" s="295"/>
      <c r="Y1920" s="295"/>
      <c r="Z1920" s="295"/>
      <c r="AA1920" s="295"/>
      <c r="AB1920" s="295"/>
      <c r="AC1920" s="295"/>
      <c r="AD1920" s="295"/>
      <c r="AE1920" s="295"/>
      <c r="AF1920" s="295"/>
      <c r="AG1920" s="295"/>
      <c r="AH1920" s="295"/>
      <c r="AI1920" s="295"/>
      <c r="AJ1920" s="295"/>
    </row>
    <row r="1921" spans="1:36" s="291" customFormat="1" ht="16.2">
      <c r="A1921" s="304"/>
      <c r="B1921" s="289"/>
      <c r="C1921" s="290"/>
      <c r="E1921" s="453"/>
      <c r="G1921" s="454"/>
      <c r="I1921" s="295"/>
      <c r="J1921" s="295"/>
      <c r="K1921" s="295"/>
      <c r="L1921" s="295"/>
      <c r="M1921" s="302"/>
      <c r="N1921" s="302"/>
      <c r="O1921" s="303"/>
      <c r="P1921" s="295"/>
      <c r="Q1921" s="295"/>
      <c r="R1921" s="295"/>
      <c r="S1921" s="295"/>
      <c r="T1921" s="295"/>
      <c r="U1921" s="295"/>
      <c r="V1921" s="295"/>
      <c r="W1921" s="295"/>
      <c r="X1921" s="295"/>
      <c r="Y1921" s="295"/>
      <c r="Z1921" s="295"/>
      <c r="AA1921" s="295"/>
      <c r="AB1921" s="295"/>
      <c r="AC1921" s="295"/>
      <c r="AD1921" s="295"/>
      <c r="AE1921" s="295"/>
      <c r="AF1921" s="295"/>
      <c r="AG1921" s="295"/>
      <c r="AH1921" s="295"/>
      <c r="AI1921" s="295"/>
      <c r="AJ1921" s="295"/>
    </row>
    <row r="1922" spans="1:36" s="291" customFormat="1" ht="16.2">
      <c r="A1922" s="304"/>
      <c r="B1922" s="289"/>
      <c r="C1922" s="290"/>
      <c r="E1922" s="453"/>
      <c r="G1922" s="454"/>
      <c r="I1922" s="295"/>
      <c r="J1922" s="295"/>
      <c r="K1922" s="295"/>
      <c r="L1922" s="295"/>
      <c r="M1922" s="302"/>
      <c r="N1922" s="302"/>
      <c r="O1922" s="303"/>
      <c r="P1922" s="295"/>
      <c r="Q1922" s="295"/>
      <c r="R1922" s="295"/>
      <c r="S1922" s="295"/>
      <c r="T1922" s="295"/>
      <c r="U1922" s="295"/>
      <c r="V1922" s="295"/>
      <c r="W1922" s="295"/>
      <c r="X1922" s="295"/>
      <c r="Y1922" s="295"/>
      <c r="Z1922" s="295"/>
      <c r="AA1922" s="295"/>
      <c r="AB1922" s="295"/>
      <c r="AC1922" s="295"/>
      <c r="AD1922" s="295"/>
      <c r="AE1922" s="295"/>
      <c r="AF1922" s="295"/>
      <c r="AG1922" s="295"/>
      <c r="AH1922" s="295"/>
      <c r="AI1922" s="295"/>
      <c r="AJ1922" s="295"/>
    </row>
    <row r="1923" spans="1:36" s="291" customFormat="1" ht="16.2">
      <c r="A1923" s="304"/>
      <c r="B1923" s="289"/>
      <c r="C1923" s="290"/>
      <c r="E1923" s="453"/>
      <c r="G1923" s="454"/>
      <c r="I1923" s="295"/>
      <c r="J1923" s="295"/>
      <c r="K1923" s="295"/>
      <c r="L1923" s="295"/>
      <c r="M1923" s="302"/>
      <c r="N1923" s="302"/>
      <c r="O1923" s="303"/>
      <c r="P1923" s="295"/>
      <c r="Q1923" s="295"/>
      <c r="R1923" s="295"/>
      <c r="S1923" s="295"/>
      <c r="T1923" s="295"/>
      <c r="U1923" s="295"/>
      <c r="V1923" s="295"/>
      <c r="W1923" s="295"/>
      <c r="X1923" s="295"/>
      <c r="Y1923" s="295"/>
      <c r="Z1923" s="295"/>
      <c r="AA1923" s="295"/>
      <c r="AB1923" s="295"/>
      <c r="AC1923" s="295"/>
      <c r="AD1923" s="295"/>
      <c r="AE1923" s="295"/>
      <c r="AF1923" s="295"/>
      <c r="AG1923" s="295"/>
      <c r="AH1923" s="295"/>
      <c r="AI1923" s="295"/>
      <c r="AJ1923" s="295"/>
    </row>
    <row r="1924" spans="1:36" s="291" customFormat="1" ht="16.2">
      <c r="A1924" s="304"/>
      <c r="B1924" s="289"/>
      <c r="C1924" s="290"/>
      <c r="E1924" s="453"/>
      <c r="G1924" s="454"/>
      <c r="I1924" s="295"/>
      <c r="J1924" s="295"/>
      <c r="K1924" s="295"/>
      <c r="L1924" s="295"/>
      <c r="M1924" s="302"/>
      <c r="N1924" s="302"/>
      <c r="O1924" s="303"/>
      <c r="P1924" s="295"/>
      <c r="Q1924" s="295"/>
      <c r="R1924" s="295"/>
      <c r="S1924" s="295"/>
      <c r="T1924" s="295"/>
      <c r="U1924" s="295"/>
      <c r="V1924" s="295"/>
      <c r="W1924" s="295"/>
      <c r="X1924" s="295"/>
      <c r="Y1924" s="295"/>
      <c r="Z1924" s="295"/>
      <c r="AA1924" s="295"/>
      <c r="AB1924" s="295"/>
      <c r="AC1924" s="295"/>
      <c r="AD1924" s="295"/>
      <c r="AE1924" s="295"/>
      <c r="AF1924" s="295"/>
      <c r="AG1924" s="295"/>
      <c r="AH1924" s="295"/>
      <c r="AI1924" s="295"/>
      <c r="AJ1924" s="295"/>
    </row>
    <row r="1925" spans="1:36" s="291" customFormat="1" ht="16.2">
      <c r="A1925" s="304"/>
      <c r="B1925" s="289"/>
      <c r="C1925" s="290"/>
      <c r="E1925" s="453"/>
      <c r="G1925" s="454"/>
      <c r="I1925" s="295"/>
      <c r="J1925" s="295"/>
      <c r="K1925" s="295"/>
      <c r="L1925" s="295"/>
      <c r="M1925" s="302"/>
      <c r="N1925" s="302"/>
      <c r="O1925" s="303"/>
      <c r="P1925" s="295"/>
      <c r="Q1925" s="295"/>
      <c r="R1925" s="295"/>
      <c r="S1925" s="295"/>
      <c r="T1925" s="295"/>
      <c r="U1925" s="295"/>
      <c r="V1925" s="295"/>
      <c r="W1925" s="295"/>
      <c r="X1925" s="295"/>
      <c r="Y1925" s="295"/>
      <c r="Z1925" s="295"/>
      <c r="AA1925" s="295"/>
      <c r="AB1925" s="295"/>
      <c r="AC1925" s="295"/>
      <c r="AD1925" s="295"/>
      <c r="AE1925" s="295"/>
      <c r="AF1925" s="295"/>
      <c r="AG1925" s="295"/>
      <c r="AH1925" s="295"/>
      <c r="AI1925" s="295"/>
      <c r="AJ1925" s="295"/>
    </row>
    <row r="1926" spans="1:36" s="291" customFormat="1" ht="16.2">
      <c r="A1926" s="304"/>
      <c r="B1926" s="289"/>
      <c r="C1926" s="290"/>
      <c r="E1926" s="453"/>
      <c r="G1926" s="454"/>
      <c r="I1926" s="295"/>
      <c r="J1926" s="295"/>
      <c r="K1926" s="295"/>
      <c r="L1926" s="295"/>
      <c r="M1926" s="302"/>
      <c r="N1926" s="302"/>
      <c r="O1926" s="303"/>
      <c r="P1926" s="295"/>
      <c r="Q1926" s="295"/>
      <c r="R1926" s="295"/>
      <c r="S1926" s="295"/>
      <c r="T1926" s="295"/>
      <c r="U1926" s="295"/>
      <c r="V1926" s="295"/>
      <c r="W1926" s="295"/>
      <c r="X1926" s="295"/>
      <c r="Y1926" s="295"/>
      <c r="Z1926" s="295"/>
      <c r="AA1926" s="295"/>
      <c r="AB1926" s="295"/>
      <c r="AC1926" s="295"/>
      <c r="AD1926" s="295"/>
      <c r="AE1926" s="295"/>
      <c r="AF1926" s="295"/>
      <c r="AG1926" s="295"/>
      <c r="AH1926" s="295"/>
      <c r="AI1926" s="295"/>
      <c r="AJ1926" s="295"/>
    </row>
    <row r="1927" spans="1:36" s="291" customFormat="1" ht="16.2">
      <c r="A1927" s="304"/>
      <c r="B1927" s="289"/>
      <c r="C1927" s="290"/>
      <c r="E1927" s="453"/>
      <c r="G1927" s="454"/>
      <c r="I1927" s="295"/>
      <c r="J1927" s="295"/>
      <c r="K1927" s="295"/>
      <c r="L1927" s="295"/>
      <c r="M1927" s="302"/>
      <c r="N1927" s="302"/>
      <c r="O1927" s="303"/>
      <c r="P1927" s="295"/>
      <c r="Q1927" s="295"/>
      <c r="R1927" s="295"/>
      <c r="S1927" s="295"/>
      <c r="T1927" s="295"/>
      <c r="U1927" s="295"/>
      <c r="V1927" s="295"/>
      <c r="W1927" s="295"/>
      <c r="X1927" s="295"/>
      <c r="Y1927" s="295"/>
      <c r="Z1927" s="295"/>
      <c r="AA1927" s="295"/>
      <c r="AB1927" s="295"/>
      <c r="AC1927" s="295"/>
      <c r="AD1927" s="295"/>
      <c r="AE1927" s="295"/>
      <c r="AF1927" s="295"/>
      <c r="AG1927" s="295"/>
      <c r="AH1927" s="295"/>
      <c r="AI1927" s="295"/>
      <c r="AJ1927" s="295"/>
    </row>
    <row r="1928" spans="1:36" s="291" customFormat="1" ht="16.2">
      <c r="A1928" s="304"/>
      <c r="B1928" s="289"/>
      <c r="C1928" s="290"/>
      <c r="E1928" s="453"/>
      <c r="G1928" s="454"/>
      <c r="I1928" s="295"/>
      <c r="J1928" s="295"/>
      <c r="K1928" s="295"/>
      <c r="L1928" s="295"/>
      <c r="M1928" s="302"/>
      <c r="N1928" s="302"/>
      <c r="O1928" s="303"/>
      <c r="P1928" s="295"/>
      <c r="Q1928" s="295"/>
      <c r="R1928" s="295"/>
      <c r="S1928" s="295"/>
      <c r="T1928" s="295"/>
      <c r="U1928" s="295"/>
      <c r="V1928" s="295"/>
      <c r="W1928" s="295"/>
      <c r="X1928" s="295"/>
      <c r="Y1928" s="295"/>
      <c r="Z1928" s="295"/>
      <c r="AA1928" s="295"/>
      <c r="AB1928" s="295"/>
      <c r="AC1928" s="295"/>
      <c r="AD1928" s="295"/>
      <c r="AE1928" s="295"/>
      <c r="AF1928" s="295"/>
      <c r="AG1928" s="295"/>
      <c r="AH1928" s="295"/>
      <c r="AI1928" s="295"/>
      <c r="AJ1928" s="295"/>
    </row>
    <row r="1929" spans="1:36" s="291" customFormat="1" ht="16.2">
      <c r="A1929" s="304"/>
      <c r="B1929" s="289"/>
      <c r="C1929" s="290"/>
      <c r="E1929" s="453"/>
      <c r="G1929" s="454"/>
      <c r="I1929" s="295"/>
      <c r="J1929" s="295"/>
      <c r="K1929" s="295"/>
      <c r="L1929" s="295"/>
      <c r="M1929" s="302"/>
      <c r="N1929" s="302"/>
      <c r="O1929" s="303"/>
      <c r="P1929" s="295"/>
      <c r="Q1929" s="295"/>
      <c r="R1929" s="295"/>
      <c r="S1929" s="295"/>
      <c r="T1929" s="295"/>
      <c r="U1929" s="295"/>
      <c r="V1929" s="295"/>
      <c r="W1929" s="295"/>
      <c r="X1929" s="295"/>
      <c r="Y1929" s="295"/>
      <c r="Z1929" s="295"/>
      <c r="AA1929" s="295"/>
      <c r="AB1929" s="295"/>
      <c r="AC1929" s="295"/>
      <c r="AD1929" s="295"/>
      <c r="AE1929" s="295"/>
      <c r="AF1929" s="295"/>
      <c r="AG1929" s="295"/>
      <c r="AH1929" s="295"/>
      <c r="AI1929" s="295"/>
      <c r="AJ1929" s="295"/>
    </row>
    <row r="1930" spans="1:36" s="291" customFormat="1" ht="16.2">
      <c r="A1930" s="304"/>
      <c r="B1930" s="289"/>
      <c r="C1930" s="290"/>
      <c r="E1930" s="453"/>
      <c r="G1930" s="454"/>
      <c r="I1930" s="295"/>
      <c r="J1930" s="295"/>
      <c r="K1930" s="295"/>
      <c r="L1930" s="295"/>
      <c r="M1930" s="302"/>
      <c r="N1930" s="302"/>
      <c r="O1930" s="303"/>
      <c r="P1930" s="295"/>
      <c r="Q1930" s="295"/>
      <c r="R1930" s="295"/>
      <c r="S1930" s="295"/>
      <c r="T1930" s="295"/>
      <c r="U1930" s="295"/>
      <c r="V1930" s="295"/>
      <c r="W1930" s="295"/>
      <c r="X1930" s="295"/>
      <c r="Y1930" s="295"/>
      <c r="Z1930" s="295"/>
      <c r="AA1930" s="295"/>
      <c r="AB1930" s="295"/>
      <c r="AC1930" s="295"/>
      <c r="AD1930" s="295"/>
      <c r="AE1930" s="295"/>
      <c r="AF1930" s="295"/>
      <c r="AG1930" s="295"/>
      <c r="AH1930" s="295"/>
      <c r="AI1930" s="295"/>
      <c r="AJ1930" s="295"/>
    </row>
    <row r="1931" spans="1:36" s="291" customFormat="1" ht="16.2">
      <c r="A1931" s="304"/>
      <c r="B1931" s="289"/>
      <c r="C1931" s="290"/>
      <c r="E1931" s="453"/>
      <c r="G1931" s="454"/>
      <c r="I1931" s="295"/>
      <c r="J1931" s="295"/>
      <c r="K1931" s="295"/>
      <c r="L1931" s="295"/>
      <c r="M1931" s="302"/>
      <c r="N1931" s="302"/>
      <c r="O1931" s="303"/>
      <c r="P1931" s="295"/>
      <c r="Q1931" s="295"/>
      <c r="R1931" s="295"/>
      <c r="S1931" s="295"/>
      <c r="T1931" s="295"/>
      <c r="U1931" s="295"/>
      <c r="V1931" s="295"/>
      <c r="W1931" s="295"/>
      <c r="X1931" s="295"/>
      <c r="Y1931" s="295"/>
      <c r="Z1931" s="295"/>
      <c r="AA1931" s="295"/>
      <c r="AB1931" s="295"/>
      <c r="AC1931" s="295"/>
      <c r="AD1931" s="295"/>
      <c r="AE1931" s="295"/>
      <c r="AF1931" s="295"/>
      <c r="AG1931" s="295"/>
      <c r="AH1931" s="295"/>
      <c r="AI1931" s="295"/>
      <c r="AJ1931" s="295"/>
    </row>
    <row r="1932" spans="1:36" s="291" customFormat="1" ht="16.2">
      <c r="A1932" s="304"/>
      <c r="B1932" s="289"/>
      <c r="C1932" s="290"/>
      <c r="E1932" s="453"/>
      <c r="G1932" s="454"/>
      <c r="I1932" s="295"/>
      <c r="J1932" s="295"/>
      <c r="K1932" s="295"/>
      <c r="L1932" s="295"/>
      <c r="M1932" s="302"/>
      <c r="N1932" s="302"/>
      <c r="O1932" s="303"/>
      <c r="P1932" s="295"/>
      <c r="Q1932" s="295"/>
      <c r="R1932" s="295"/>
      <c r="S1932" s="295"/>
      <c r="T1932" s="295"/>
      <c r="U1932" s="295"/>
      <c r="V1932" s="295"/>
      <c r="W1932" s="295"/>
      <c r="X1932" s="295"/>
      <c r="Y1932" s="295"/>
      <c r="Z1932" s="295"/>
      <c r="AA1932" s="295"/>
      <c r="AB1932" s="295"/>
      <c r="AC1932" s="295"/>
      <c r="AD1932" s="295"/>
      <c r="AE1932" s="295"/>
      <c r="AF1932" s="295"/>
      <c r="AG1932" s="295"/>
      <c r="AH1932" s="295"/>
      <c r="AI1932" s="295"/>
      <c r="AJ1932" s="295"/>
    </row>
    <row r="1933" spans="1:36" s="291" customFormat="1" ht="16.2">
      <c r="A1933" s="304"/>
      <c r="B1933" s="289"/>
      <c r="C1933" s="290"/>
      <c r="E1933" s="453"/>
      <c r="G1933" s="454"/>
      <c r="I1933" s="295"/>
      <c r="J1933" s="295"/>
      <c r="K1933" s="295"/>
      <c r="L1933" s="295"/>
      <c r="M1933" s="302"/>
      <c r="N1933" s="302"/>
      <c r="O1933" s="303"/>
      <c r="P1933" s="295"/>
      <c r="Q1933" s="295"/>
      <c r="R1933" s="295"/>
      <c r="S1933" s="295"/>
      <c r="T1933" s="295"/>
      <c r="U1933" s="295"/>
      <c r="V1933" s="295"/>
      <c r="W1933" s="295"/>
      <c r="X1933" s="295"/>
      <c r="Y1933" s="295"/>
      <c r="Z1933" s="295"/>
      <c r="AA1933" s="295"/>
      <c r="AB1933" s="295"/>
      <c r="AC1933" s="295"/>
      <c r="AD1933" s="295"/>
      <c r="AE1933" s="295"/>
      <c r="AF1933" s="295"/>
      <c r="AG1933" s="295"/>
      <c r="AH1933" s="295"/>
      <c r="AI1933" s="295"/>
      <c r="AJ1933" s="295"/>
    </row>
    <row r="1934" spans="1:36" s="291" customFormat="1" ht="16.2">
      <c r="A1934" s="304"/>
      <c r="B1934" s="289"/>
      <c r="C1934" s="290"/>
      <c r="E1934" s="453"/>
      <c r="G1934" s="454"/>
      <c r="I1934" s="295"/>
      <c r="J1934" s="295"/>
      <c r="K1934" s="295"/>
      <c r="L1934" s="295"/>
      <c r="M1934" s="302"/>
      <c r="N1934" s="302"/>
      <c r="O1934" s="303"/>
      <c r="P1934" s="295"/>
      <c r="Q1934" s="295"/>
      <c r="R1934" s="295"/>
      <c r="S1934" s="295"/>
      <c r="T1934" s="295"/>
      <c r="U1934" s="295"/>
      <c r="V1934" s="295"/>
      <c r="W1934" s="295"/>
      <c r="X1934" s="295"/>
      <c r="Y1934" s="295"/>
      <c r="Z1934" s="295"/>
      <c r="AA1934" s="295"/>
      <c r="AB1934" s="295"/>
      <c r="AC1934" s="295"/>
      <c r="AD1934" s="295"/>
      <c r="AE1934" s="295"/>
      <c r="AF1934" s="295"/>
      <c r="AG1934" s="295"/>
      <c r="AH1934" s="295"/>
      <c r="AI1934" s="295"/>
      <c r="AJ1934" s="295"/>
    </row>
    <row r="1935" spans="1:36" s="291" customFormat="1" ht="16.2">
      <c r="A1935" s="304"/>
      <c r="B1935" s="289"/>
      <c r="C1935" s="290"/>
      <c r="E1935" s="453"/>
      <c r="G1935" s="454"/>
      <c r="I1935" s="295"/>
      <c r="J1935" s="295"/>
      <c r="K1935" s="295"/>
      <c r="L1935" s="295"/>
      <c r="M1935" s="302"/>
      <c r="N1935" s="302"/>
      <c r="O1935" s="303"/>
      <c r="P1935" s="295"/>
      <c r="Q1935" s="295"/>
      <c r="R1935" s="295"/>
      <c r="S1935" s="295"/>
      <c r="T1935" s="295"/>
      <c r="U1935" s="295"/>
      <c r="V1935" s="295"/>
      <c r="W1935" s="295"/>
      <c r="X1935" s="295"/>
      <c r="Y1935" s="295"/>
      <c r="Z1935" s="295"/>
      <c r="AA1935" s="295"/>
      <c r="AB1935" s="295"/>
      <c r="AC1935" s="295"/>
      <c r="AD1935" s="295"/>
      <c r="AE1935" s="295"/>
      <c r="AF1935" s="295"/>
      <c r="AG1935" s="295"/>
      <c r="AH1935" s="295"/>
      <c r="AI1935" s="295"/>
      <c r="AJ1935" s="295"/>
    </row>
    <row r="1936" spans="1:36" s="291" customFormat="1" ht="16.2">
      <c r="A1936" s="304"/>
      <c r="B1936" s="289"/>
      <c r="C1936" s="290"/>
      <c r="E1936" s="453"/>
      <c r="G1936" s="454"/>
      <c r="I1936" s="295"/>
      <c r="J1936" s="295"/>
      <c r="K1936" s="295"/>
      <c r="L1936" s="295"/>
      <c r="M1936" s="302"/>
      <c r="N1936" s="302"/>
      <c r="O1936" s="303"/>
      <c r="P1936" s="295"/>
      <c r="Q1936" s="295"/>
      <c r="R1936" s="295"/>
      <c r="S1936" s="295"/>
      <c r="T1936" s="295"/>
      <c r="U1936" s="295"/>
      <c r="V1936" s="295"/>
      <c r="W1936" s="295"/>
      <c r="X1936" s="295"/>
      <c r="Y1936" s="295"/>
      <c r="Z1936" s="295"/>
      <c r="AA1936" s="295"/>
      <c r="AB1936" s="295"/>
      <c r="AC1936" s="295"/>
      <c r="AD1936" s="295"/>
      <c r="AE1936" s="295"/>
      <c r="AF1936" s="295"/>
      <c r="AG1936" s="295"/>
      <c r="AH1936" s="295"/>
      <c r="AI1936" s="295"/>
      <c r="AJ1936" s="295"/>
    </row>
    <row r="1937" spans="1:36" s="291" customFormat="1" ht="16.2">
      <c r="A1937" s="304"/>
      <c r="B1937" s="289"/>
      <c r="C1937" s="290"/>
      <c r="E1937" s="453"/>
      <c r="G1937" s="454"/>
      <c r="I1937" s="295"/>
      <c r="J1937" s="295"/>
      <c r="K1937" s="295"/>
      <c r="L1937" s="295"/>
      <c r="M1937" s="302"/>
      <c r="N1937" s="302"/>
      <c r="O1937" s="303"/>
      <c r="P1937" s="295"/>
      <c r="Q1937" s="295"/>
      <c r="R1937" s="295"/>
      <c r="S1937" s="295"/>
      <c r="T1937" s="295"/>
      <c r="U1937" s="295"/>
      <c r="V1937" s="295"/>
      <c r="W1937" s="295"/>
      <c r="X1937" s="295"/>
      <c r="Y1937" s="295"/>
      <c r="Z1937" s="295"/>
      <c r="AA1937" s="295"/>
      <c r="AB1937" s="295"/>
      <c r="AC1937" s="295"/>
      <c r="AD1937" s="295"/>
      <c r="AE1937" s="295"/>
      <c r="AF1937" s="295"/>
      <c r="AG1937" s="295"/>
      <c r="AH1937" s="295"/>
      <c r="AI1937" s="295"/>
      <c r="AJ1937" s="295"/>
    </row>
    <row r="1938" spans="1:36" s="291" customFormat="1" ht="16.2">
      <c r="A1938" s="304"/>
      <c r="B1938" s="289"/>
      <c r="C1938" s="290"/>
      <c r="E1938" s="453"/>
      <c r="G1938" s="454"/>
      <c r="I1938" s="295"/>
      <c r="J1938" s="295"/>
      <c r="K1938" s="295"/>
      <c r="L1938" s="295"/>
      <c r="M1938" s="302"/>
      <c r="N1938" s="302"/>
      <c r="O1938" s="303"/>
      <c r="P1938" s="295"/>
      <c r="Q1938" s="295"/>
      <c r="R1938" s="295"/>
      <c r="S1938" s="295"/>
      <c r="T1938" s="295"/>
      <c r="U1938" s="295"/>
      <c r="V1938" s="295"/>
      <c r="W1938" s="295"/>
      <c r="X1938" s="295"/>
      <c r="Y1938" s="295"/>
      <c r="Z1938" s="295"/>
      <c r="AA1938" s="295"/>
      <c r="AB1938" s="295"/>
      <c r="AC1938" s="295"/>
      <c r="AD1938" s="295"/>
      <c r="AE1938" s="295"/>
      <c r="AF1938" s="295"/>
      <c r="AG1938" s="295"/>
      <c r="AH1938" s="295"/>
      <c r="AI1938" s="295"/>
      <c r="AJ1938" s="295"/>
    </row>
    <row r="1939" spans="1:36" s="291" customFormat="1" ht="16.2">
      <c r="A1939" s="304"/>
      <c r="B1939" s="289"/>
      <c r="C1939" s="290"/>
      <c r="E1939" s="453"/>
      <c r="G1939" s="454"/>
      <c r="I1939" s="295"/>
      <c r="J1939" s="295"/>
      <c r="K1939" s="295"/>
      <c r="L1939" s="295"/>
      <c r="M1939" s="302"/>
      <c r="N1939" s="302"/>
      <c r="O1939" s="303"/>
      <c r="P1939" s="295"/>
      <c r="Q1939" s="295"/>
      <c r="R1939" s="295"/>
      <c r="S1939" s="295"/>
      <c r="T1939" s="295"/>
      <c r="U1939" s="295"/>
      <c r="V1939" s="295"/>
      <c r="W1939" s="295"/>
      <c r="X1939" s="295"/>
      <c r="Y1939" s="295"/>
      <c r="Z1939" s="295"/>
      <c r="AA1939" s="295"/>
      <c r="AB1939" s="295"/>
      <c r="AC1939" s="295"/>
      <c r="AD1939" s="295"/>
      <c r="AE1939" s="295"/>
      <c r="AF1939" s="295"/>
      <c r="AG1939" s="295"/>
      <c r="AH1939" s="295"/>
      <c r="AI1939" s="295"/>
      <c r="AJ1939" s="295"/>
    </row>
    <row r="1940" spans="1:36" s="291" customFormat="1" ht="16.2">
      <c r="A1940" s="304"/>
      <c r="B1940" s="289"/>
      <c r="C1940" s="290"/>
      <c r="E1940" s="453"/>
      <c r="G1940" s="454"/>
      <c r="I1940" s="295"/>
      <c r="J1940" s="295"/>
      <c r="K1940" s="295"/>
      <c r="L1940" s="295"/>
      <c r="M1940" s="302"/>
      <c r="N1940" s="302"/>
      <c r="O1940" s="303"/>
      <c r="P1940" s="295"/>
      <c r="Q1940" s="295"/>
      <c r="R1940" s="295"/>
      <c r="S1940" s="295"/>
      <c r="T1940" s="295"/>
      <c r="U1940" s="295"/>
      <c r="V1940" s="295"/>
      <c r="W1940" s="295"/>
      <c r="X1940" s="295"/>
      <c r="Y1940" s="295"/>
      <c r="Z1940" s="295"/>
      <c r="AA1940" s="295"/>
      <c r="AB1940" s="295"/>
      <c r="AC1940" s="295"/>
      <c r="AD1940" s="295"/>
      <c r="AE1940" s="295"/>
      <c r="AF1940" s="295"/>
      <c r="AG1940" s="295"/>
      <c r="AH1940" s="295"/>
      <c r="AI1940" s="295"/>
      <c r="AJ1940" s="295"/>
    </row>
    <row r="1941" spans="1:36" s="291" customFormat="1" ht="16.2">
      <c r="A1941" s="304"/>
      <c r="B1941" s="289"/>
      <c r="C1941" s="290"/>
      <c r="E1941" s="453"/>
      <c r="G1941" s="454"/>
      <c r="I1941" s="295"/>
      <c r="J1941" s="295"/>
      <c r="K1941" s="295"/>
      <c r="L1941" s="295"/>
      <c r="M1941" s="302"/>
      <c r="N1941" s="302"/>
      <c r="O1941" s="303"/>
      <c r="P1941" s="295"/>
      <c r="Q1941" s="295"/>
      <c r="R1941" s="295"/>
      <c r="S1941" s="295"/>
      <c r="T1941" s="295"/>
      <c r="U1941" s="295"/>
      <c r="V1941" s="295"/>
      <c r="W1941" s="295"/>
      <c r="X1941" s="295"/>
      <c r="Y1941" s="295"/>
      <c r="Z1941" s="295"/>
      <c r="AA1941" s="295"/>
      <c r="AB1941" s="295"/>
      <c r="AC1941" s="295"/>
      <c r="AD1941" s="295"/>
      <c r="AE1941" s="295"/>
      <c r="AF1941" s="295"/>
      <c r="AG1941" s="295"/>
      <c r="AH1941" s="295"/>
      <c r="AI1941" s="295"/>
      <c r="AJ1941" s="295"/>
    </row>
    <row r="1942" spans="1:36" s="291" customFormat="1" ht="16.2">
      <c r="A1942" s="304"/>
      <c r="B1942" s="289"/>
      <c r="C1942" s="290"/>
      <c r="E1942" s="453"/>
      <c r="G1942" s="454"/>
      <c r="I1942" s="295"/>
      <c r="J1942" s="295"/>
      <c r="K1942" s="295"/>
      <c r="L1942" s="295"/>
      <c r="M1942" s="302"/>
      <c r="N1942" s="302"/>
      <c r="O1942" s="303"/>
      <c r="P1942" s="295"/>
      <c r="Q1942" s="295"/>
      <c r="R1942" s="295"/>
      <c r="S1942" s="295"/>
      <c r="T1942" s="295"/>
      <c r="U1942" s="295"/>
      <c r="V1942" s="295"/>
      <c r="W1942" s="295"/>
      <c r="X1942" s="295"/>
      <c r="Y1942" s="295"/>
      <c r="Z1942" s="295"/>
      <c r="AA1942" s="295"/>
      <c r="AB1942" s="295"/>
      <c r="AC1942" s="295"/>
      <c r="AD1942" s="295"/>
      <c r="AE1942" s="295"/>
      <c r="AF1942" s="295"/>
      <c r="AG1942" s="295"/>
      <c r="AH1942" s="295"/>
      <c r="AI1942" s="295"/>
      <c r="AJ1942" s="295"/>
    </row>
    <row r="1943" spans="1:36" s="291" customFormat="1" ht="16.2">
      <c r="A1943" s="304"/>
      <c r="B1943" s="289"/>
      <c r="C1943" s="290"/>
      <c r="E1943" s="453"/>
      <c r="G1943" s="454"/>
      <c r="I1943" s="295"/>
      <c r="J1943" s="295"/>
      <c r="K1943" s="295"/>
      <c r="L1943" s="295"/>
      <c r="M1943" s="302"/>
      <c r="N1943" s="302"/>
      <c r="O1943" s="303"/>
      <c r="P1943" s="295"/>
      <c r="Q1943" s="295"/>
      <c r="R1943" s="295"/>
      <c r="S1943" s="295"/>
      <c r="T1943" s="295"/>
      <c r="U1943" s="295"/>
      <c r="V1943" s="295"/>
      <c r="W1943" s="295"/>
      <c r="X1943" s="295"/>
      <c r="Y1943" s="295"/>
      <c r="Z1943" s="295"/>
      <c r="AA1943" s="295"/>
      <c r="AB1943" s="295"/>
      <c r="AC1943" s="295"/>
      <c r="AD1943" s="295"/>
      <c r="AE1943" s="295"/>
      <c r="AF1943" s="295"/>
      <c r="AG1943" s="295"/>
      <c r="AH1943" s="295"/>
      <c r="AI1943" s="295"/>
      <c r="AJ1943" s="295"/>
    </row>
    <row r="1944" spans="1:36" s="291" customFormat="1" ht="16.2">
      <c r="A1944" s="304"/>
      <c r="B1944" s="289"/>
      <c r="C1944" s="290"/>
      <c r="E1944" s="453"/>
      <c r="G1944" s="454"/>
      <c r="I1944" s="295"/>
      <c r="J1944" s="295"/>
      <c r="K1944" s="295"/>
      <c r="L1944" s="295"/>
      <c r="M1944" s="302"/>
      <c r="N1944" s="302"/>
      <c r="O1944" s="303"/>
      <c r="P1944" s="295"/>
      <c r="Q1944" s="295"/>
      <c r="R1944" s="295"/>
      <c r="S1944" s="295"/>
      <c r="T1944" s="295"/>
      <c r="U1944" s="295"/>
      <c r="V1944" s="295"/>
      <c r="W1944" s="295"/>
      <c r="X1944" s="295"/>
      <c r="Y1944" s="295"/>
      <c r="Z1944" s="295"/>
      <c r="AA1944" s="295"/>
      <c r="AB1944" s="295"/>
      <c r="AC1944" s="295"/>
      <c r="AD1944" s="295"/>
      <c r="AE1944" s="295"/>
      <c r="AF1944" s="295"/>
      <c r="AG1944" s="295"/>
      <c r="AH1944" s="295"/>
      <c r="AI1944" s="295"/>
      <c r="AJ1944" s="295"/>
    </row>
    <row r="1945" spans="1:36" s="291" customFormat="1" ht="16.2">
      <c r="A1945" s="304"/>
      <c r="B1945" s="289"/>
      <c r="C1945" s="290"/>
      <c r="E1945" s="453"/>
      <c r="G1945" s="454"/>
      <c r="I1945" s="295"/>
      <c r="J1945" s="295"/>
      <c r="K1945" s="295"/>
      <c r="L1945" s="295"/>
      <c r="M1945" s="302"/>
      <c r="N1945" s="302"/>
      <c r="O1945" s="303"/>
      <c r="P1945" s="295"/>
      <c r="Q1945" s="295"/>
      <c r="R1945" s="295"/>
      <c r="S1945" s="295"/>
      <c r="T1945" s="295"/>
      <c r="U1945" s="295"/>
      <c r="V1945" s="295"/>
      <c r="W1945" s="295"/>
      <c r="X1945" s="295"/>
      <c r="Y1945" s="295"/>
      <c r="Z1945" s="295"/>
      <c r="AA1945" s="295"/>
      <c r="AB1945" s="295"/>
      <c r="AC1945" s="295"/>
      <c r="AD1945" s="295"/>
      <c r="AE1945" s="295"/>
      <c r="AF1945" s="295"/>
      <c r="AG1945" s="295"/>
      <c r="AH1945" s="295"/>
      <c r="AI1945" s="295"/>
      <c r="AJ1945" s="295"/>
    </row>
    <row r="1946" spans="1:36" s="291" customFormat="1" ht="16.2">
      <c r="A1946" s="304"/>
      <c r="B1946" s="289"/>
      <c r="C1946" s="290"/>
      <c r="E1946" s="453"/>
      <c r="G1946" s="454"/>
      <c r="I1946" s="295"/>
      <c r="J1946" s="295"/>
      <c r="K1946" s="295"/>
      <c r="L1946" s="295"/>
      <c r="M1946" s="302"/>
      <c r="N1946" s="302"/>
      <c r="O1946" s="303"/>
      <c r="P1946" s="295"/>
      <c r="Q1946" s="295"/>
      <c r="R1946" s="295"/>
      <c r="S1946" s="295"/>
      <c r="T1946" s="295"/>
      <c r="U1946" s="295"/>
      <c r="V1946" s="295"/>
      <c r="W1946" s="295"/>
      <c r="X1946" s="295"/>
      <c r="Y1946" s="295"/>
      <c r="Z1946" s="295"/>
      <c r="AA1946" s="295"/>
      <c r="AB1946" s="295"/>
      <c r="AC1946" s="295"/>
      <c r="AD1946" s="295"/>
      <c r="AE1946" s="295"/>
      <c r="AF1946" s="295"/>
      <c r="AG1946" s="295"/>
      <c r="AH1946" s="295"/>
      <c r="AI1946" s="295"/>
      <c r="AJ1946" s="295"/>
    </row>
    <row r="1947" spans="1:36" s="291" customFormat="1" ht="16.2">
      <c r="A1947" s="304"/>
      <c r="B1947" s="289"/>
      <c r="C1947" s="290"/>
      <c r="E1947" s="453"/>
      <c r="G1947" s="454"/>
      <c r="I1947" s="295"/>
      <c r="J1947" s="295"/>
      <c r="K1947" s="295"/>
      <c r="L1947" s="295"/>
      <c r="M1947" s="302"/>
      <c r="N1947" s="302"/>
      <c r="O1947" s="303"/>
      <c r="P1947" s="295"/>
      <c r="Q1947" s="295"/>
      <c r="R1947" s="295"/>
      <c r="S1947" s="295"/>
      <c r="T1947" s="295"/>
      <c r="U1947" s="295"/>
      <c r="V1947" s="295"/>
      <c r="W1947" s="295"/>
      <c r="X1947" s="295"/>
      <c r="Y1947" s="295"/>
      <c r="Z1947" s="295"/>
      <c r="AA1947" s="295"/>
      <c r="AB1947" s="295"/>
      <c r="AC1947" s="295"/>
      <c r="AD1947" s="295"/>
      <c r="AE1947" s="295"/>
      <c r="AF1947" s="295"/>
      <c r="AG1947" s="295"/>
      <c r="AH1947" s="295"/>
      <c r="AI1947" s="295"/>
      <c r="AJ1947" s="295"/>
    </row>
    <row r="1948" spans="1:36" s="291" customFormat="1" ht="16.2">
      <c r="A1948" s="304"/>
      <c r="B1948" s="289"/>
      <c r="C1948" s="290"/>
      <c r="E1948" s="453"/>
      <c r="G1948" s="454"/>
      <c r="I1948" s="295"/>
      <c r="J1948" s="295"/>
      <c r="K1948" s="295"/>
      <c r="L1948" s="295"/>
      <c r="M1948" s="302"/>
      <c r="N1948" s="302"/>
      <c r="O1948" s="303"/>
      <c r="P1948" s="295"/>
      <c r="Q1948" s="295"/>
      <c r="R1948" s="295"/>
      <c r="S1948" s="295"/>
      <c r="T1948" s="295"/>
      <c r="U1948" s="295"/>
      <c r="V1948" s="295"/>
      <c r="W1948" s="295"/>
      <c r="X1948" s="295"/>
      <c r="Y1948" s="295"/>
      <c r="Z1948" s="295"/>
      <c r="AA1948" s="295"/>
      <c r="AB1948" s="295"/>
      <c r="AC1948" s="295"/>
      <c r="AD1948" s="295"/>
      <c r="AE1948" s="295"/>
      <c r="AF1948" s="295"/>
      <c r="AG1948" s="295"/>
      <c r="AH1948" s="295"/>
      <c r="AI1948" s="295"/>
      <c r="AJ1948" s="295"/>
    </row>
    <row r="1949" spans="1:36" s="291" customFormat="1" ht="16.2">
      <c r="A1949" s="304"/>
      <c r="B1949" s="289"/>
      <c r="C1949" s="290"/>
      <c r="E1949" s="453"/>
      <c r="G1949" s="454"/>
      <c r="I1949" s="295"/>
      <c r="J1949" s="295"/>
      <c r="K1949" s="295"/>
      <c r="L1949" s="295"/>
      <c r="M1949" s="302"/>
      <c r="N1949" s="302"/>
      <c r="O1949" s="303"/>
      <c r="P1949" s="295"/>
      <c r="Q1949" s="295"/>
      <c r="R1949" s="295"/>
      <c r="S1949" s="295"/>
      <c r="T1949" s="295"/>
      <c r="U1949" s="295"/>
      <c r="V1949" s="295"/>
      <c r="W1949" s="295"/>
      <c r="X1949" s="295"/>
      <c r="Y1949" s="295"/>
      <c r="Z1949" s="295"/>
      <c r="AA1949" s="295"/>
      <c r="AB1949" s="295"/>
      <c r="AC1949" s="295"/>
      <c r="AD1949" s="295"/>
      <c r="AE1949" s="295"/>
      <c r="AF1949" s="295"/>
      <c r="AG1949" s="295"/>
      <c r="AH1949" s="295"/>
      <c r="AI1949" s="295"/>
      <c r="AJ1949" s="295"/>
    </row>
    <row r="1950" spans="1:36" s="291" customFormat="1" ht="16.2">
      <c r="A1950" s="304"/>
      <c r="B1950" s="289"/>
      <c r="C1950" s="290"/>
      <c r="E1950" s="453"/>
      <c r="G1950" s="454"/>
      <c r="I1950" s="295"/>
      <c r="J1950" s="295"/>
      <c r="K1950" s="295"/>
      <c r="L1950" s="295"/>
      <c r="M1950" s="302"/>
      <c r="N1950" s="302"/>
      <c r="O1950" s="303"/>
      <c r="P1950" s="295"/>
      <c r="Q1950" s="295"/>
      <c r="R1950" s="295"/>
      <c r="S1950" s="295"/>
      <c r="T1950" s="295"/>
      <c r="U1950" s="295"/>
      <c r="V1950" s="295"/>
      <c r="W1950" s="295"/>
      <c r="X1950" s="295"/>
      <c r="Y1950" s="295"/>
      <c r="Z1950" s="295"/>
      <c r="AA1950" s="295"/>
      <c r="AB1950" s="295"/>
      <c r="AC1950" s="295"/>
      <c r="AD1950" s="295"/>
      <c r="AE1950" s="295"/>
      <c r="AF1950" s="295"/>
      <c r="AG1950" s="295"/>
      <c r="AH1950" s="295"/>
      <c r="AI1950" s="295"/>
      <c r="AJ1950" s="295"/>
    </row>
    <row r="1951" spans="1:36" s="291" customFormat="1" ht="16.2">
      <c r="A1951" s="304"/>
      <c r="B1951" s="289"/>
      <c r="C1951" s="290"/>
      <c r="E1951" s="453"/>
      <c r="G1951" s="454"/>
      <c r="I1951" s="295"/>
      <c r="J1951" s="295"/>
      <c r="K1951" s="295"/>
      <c r="L1951" s="295"/>
      <c r="M1951" s="302"/>
      <c r="N1951" s="302"/>
      <c r="O1951" s="303"/>
      <c r="P1951" s="295"/>
      <c r="Q1951" s="295"/>
      <c r="R1951" s="295"/>
      <c r="S1951" s="295"/>
      <c r="T1951" s="295"/>
      <c r="U1951" s="295"/>
      <c r="V1951" s="295"/>
      <c r="W1951" s="295"/>
      <c r="X1951" s="295"/>
      <c r="Y1951" s="295"/>
      <c r="Z1951" s="295"/>
      <c r="AA1951" s="295"/>
      <c r="AB1951" s="295"/>
      <c r="AC1951" s="295"/>
      <c r="AD1951" s="295"/>
      <c r="AE1951" s="295"/>
      <c r="AF1951" s="295"/>
      <c r="AG1951" s="295"/>
      <c r="AH1951" s="295"/>
      <c r="AI1951" s="295"/>
      <c r="AJ1951" s="295"/>
    </row>
    <row r="1952" spans="1:36" s="291" customFormat="1" ht="16.2">
      <c r="A1952" s="304"/>
      <c r="B1952" s="289"/>
      <c r="C1952" s="290"/>
      <c r="E1952" s="453"/>
      <c r="G1952" s="454"/>
      <c r="I1952" s="295"/>
      <c r="J1952" s="295"/>
      <c r="K1952" s="295"/>
      <c r="L1952" s="295"/>
      <c r="M1952" s="302"/>
      <c r="N1952" s="302"/>
      <c r="O1952" s="303"/>
      <c r="P1952" s="295"/>
      <c r="Q1952" s="295"/>
      <c r="R1952" s="295"/>
      <c r="S1952" s="295"/>
      <c r="T1952" s="295"/>
      <c r="U1952" s="295"/>
      <c r="V1952" s="295"/>
      <c r="W1952" s="295"/>
      <c r="X1952" s="295"/>
      <c r="Y1952" s="295"/>
      <c r="Z1952" s="295"/>
      <c r="AA1952" s="295"/>
      <c r="AB1952" s="295"/>
      <c r="AC1952" s="295"/>
      <c r="AD1952" s="295"/>
      <c r="AE1952" s="295"/>
      <c r="AF1952" s="295"/>
      <c r="AG1952" s="295"/>
      <c r="AH1952" s="295"/>
      <c r="AI1952" s="295"/>
      <c r="AJ1952" s="295"/>
    </row>
    <row r="1953" spans="1:36" s="291" customFormat="1" ht="16.2">
      <c r="A1953" s="304"/>
      <c r="B1953" s="289"/>
      <c r="C1953" s="290"/>
      <c r="E1953" s="453"/>
      <c r="G1953" s="454"/>
      <c r="I1953" s="295"/>
      <c r="J1953" s="295"/>
      <c r="K1953" s="295"/>
      <c r="L1953" s="295"/>
      <c r="M1953" s="302"/>
      <c r="N1953" s="302"/>
      <c r="O1953" s="303"/>
      <c r="P1953" s="295"/>
      <c r="Q1953" s="295"/>
      <c r="R1953" s="295"/>
      <c r="S1953" s="295"/>
      <c r="T1953" s="295"/>
      <c r="U1953" s="295"/>
      <c r="V1953" s="295"/>
      <c r="W1953" s="295"/>
      <c r="X1953" s="295"/>
      <c r="Y1953" s="295"/>
      <c r="Z1953" s="295"/>
      <c r="AA1953" s="295"/>
      <c r="AB1953" s="295"/>
      <c r="AC1953" s="295"/>
      <c r="AD1953" s="295"/>
      <c r="AE1953" s="295"/>
      <c r="AF1953" s="295"/>
      <c r="AG1953" s="295"/>
      <c r="AH1953" s="295"/>
      <c r="AI1953" s="295"/>
      <c r="AJ1953" s="295"/>
    </row>
    <row r="1954" spans="1:36" s="291" customFormat="1" ht="16.2">
      <c r="A1954" s="304"/>
      <c r="B1954" s="289"/>
      <c r="C1954" s="290"/>
      <c r="E1954" s="453"/>
      <c r="G1954" s="454"/>
      <c r="I1954" s="295"/>
      <c r="J1954" s="295"/>
      <c r="K1954" s="295"/>
      <c r="L1954" s="295"/>
      <c r="M1954" s="302"/>
      <c r="N1954" s="302"/>
      <c r="O1954" s="303"/>
      <c r="P1954" s="295"/>
      <c r="Q1954" s="295"/>
      <c r="R1954" s="295"/>
      <c r="S1954" s="295"/>
      <c r="T1954" s="295"/>
      <c r="U1954" s="295"/>
      <c r="V1954" s="295"/>
      <c r="W1954" s="295"/>
      <c r="X1954" s="295"/>
      <c r="Y1954" s="295"/>
      <c r="Z1954" s="295"/>
      <c r="AA1954" s="295"/>
      <c r="AB1954" s="295"/>
      <c r="AC1954" s="295"/>
      <c r="AD1954" s="295"/>
      <c r="AE1954" s="295"/>
      <c r="AF1954" s="295"/>
      <c r="AG1954" s="295"/>
      <c r="AH1954" s="295"/>
      <c r="AI1954" s="295"/>
      <c r="AJ1954" s="295"/>
    </row>
    <row r="1955" spans="1:36" s="291" customFormat="1" ht="16.2">
      <c r="A1955" s="304"/>
      <c r="B1955" s="289"/>
      <c r="C1955" s="290"/>
      <c r="E1955" s="453"/>
      <c r="G1955" s="454"/>
      <c r="I1955" s="295"/>
      <c r="J1955" s="295"/>
      <c r="K1955" s="295"/>
      <c r="L1955" s="295"/>
      <c r="M1955" s="302"/>
      <c r="N1955" s="302"/>
      <c r="O1955" s="303"/>
      <c r="P1955" s="295"/>
      <c r="Q1955" s="295"/>
      <c r="R1955" s="295"/>
      <c r="S1955" s="295"/>
      <c r="T1955" s="295"/>
      <c r="U1955" s="295"/>
      <c r="V1955" s="295"/>
      <c r="W1955" s="295"/>
      <c r="X1955" s="295"/>
      <c r="Y1955" s="295"/>
      <c r="Z1955" s="295"/>
      <c r="AA1955" s="295"/>
      <c r="AB1955" s="295"/>
      <c r="AC1955" s="295"/>
      <c r="AD1955" s="295"/>
      <c r="AE1955" s="295"/>
      <c r="AF1955" s="295"/>
      <c r="AG1955" s="295"/>
      <c r="AH1955" s="295"/>
      <c r="AI1955" s="295"/>
      <c r="AJ1955" s="295"/>
    </row>
    <row r="1956" spans="1:36" s="291" customFormat="1" ht="16.2">
      <c r="A1956" s="304"/>
      <c r="B1956" s="289"/>
      <c r="C1956" s="290"/>
      <c r="E1956" s="453"/>
      <c r="G1956" s="454"/>
      <c r="I1956" s="295"/>
      <c r="J1956" s="295"/>
      <c r="K1956" s="295"/>
      <c r="L1956" s="295"/>
      <c r="M1956" s="302"/>
      <c r="N1956" s="302"/>
      <c r="O1956" s="303"/>
      <c r="P1956" s="295"/>
      <c r="Q1956" s="295"/>
      <c r="R1956" s="295"/>
      <c r="S1956" s="295"/>
      <c r="T1956" s="295"/>
      <c r="U1956" s="295"/>
      <c r="V1956" s="295"/>
      <c r="W1956" s="295"/>
      <c r="X1956" s="295"/>
      <c r="Y1956" s="295"/>
      <c r="Z1956" s="295"/>
      <c r="AA1956" s="295"/>
      <c r="AB1956" s="295"/>
      <c r="AC1956" s="295"/>
      <c r="AD1956" s="295"/>
      <c r="AE1956" s="295"/>
      <c r="AF1956" s="295"/>
      <c r="AG1956" s="295"/>
      <c r="AH1956" s="295"/>
      <c r="AI1956" s="295"/>
      <c r="AJ1956" s="295"/>
    </row>
    <row r="1957" spans="1:36" s="291" customFormat="1" ht="16.2">
      <c r="A1957" s="304"/>
      <c r="B1957" s="289"/>
      <c r="C1957" s="290"/>
      <c r="E1957" s="453"/>
      <c r="G1957" s="454"/>
      <c r="I1957" s="295"/>
      <c r="J1957" s="295"/>
      <c r="K1957" s="295"/>
      <c r="L1957" s="295"/>
      <c r="M1957" s="302"/>
      <c r="N1957" s="302"/>
      <c r="O1957" s="303"/>
      <c r="P1957" s="295"/>
      <c r="Q1957" s="295"/>
      <c r="R1957" s="295"/>
      <c r="S1957" s="295"/>
      <c r="T1957" s="295"/>
      <c r="U1957" s="295"/>
      <c r="V1957" s="295"/>
      <c r="W1957" s="295"/>
      <c r="X1957" s="295"/>
      <c r="Y1957" s="295"/>
      <c r="Z1957" s="295"/>
      <c r="AA1957" s="295"/>
      <c r="AB1957" s="295"/>
      <c r="AC1957" s="295"/>
      <c r="AD1957" s="295"/>
      <c r="AE1957" s="295"/>
      <c r="AF1957" s="295"/>
      <c r="AG1957" s="295"/>
      <c r="AH1957" s="295"/>
      <c r="AI1957" s="295"/>
      <c r="AJ1957" s="295"/>
    </row>
    <row r="1958" spans="1:36" s="291" customFormat="1" ht="16.2">
      <c r="A1958" s="304"/>
      <c r="B1958" s="289"/>
      <c r="C1958" s="290"/>
      <c r="E1958" s="453"/>
      <c r="G1958" s="454"/>
      <c r="I1958" s="295"/>
      <c r="J1958" s="295"/>
      <c r="K1958" s="295"/>
      <c r="L1958" s="295"/>
      <c r="M1958" s="302"/>
      <c r="N1958" s="302"/>
      <c r="O1958" s="303"/>
      <c r="P1958" s="295"/>
      <c r="Q1958" s="295"/>
      <c r="R1958" s="295"/>
      <c r="S1958" s="295"/>
      <c r="T1958" s="295"/>
      <c r="U1958" s="295"/>
      <c r="V1958" s="295"/>
      <c r="W1958" s="295"/>
      <c r="X1958" s="295"/>
      <c r="Y1958" s="295"/>
      <c r="Z1958" s="295"/>
      <c r="AA1958" s="295"/>
      <c r="AB1958" s="295"/>
      <c r="AC1958" s="295"/>
      <c r="AD1958" s="295"/>
      <c r="AE1958" s="295"/>
      <c r="AF1958" s="295"/>
      <c r="AG1958" s="295"/>
      <c r="AH1958" s="295"/>
      <c r="AI1958" s="295"/>
      <c r="AJ1958" s="295"/>
    </row>
    <row r="1959" spans="1:36" s="291" customFormat="1" ht="16.2">
      <c r="A1959" s="304"/>
      <c r="B1959" s="289"/>
      <c r="C1959" s="290"/>
      <c r="E1959" s="453"/>
      <c r="G1959" s="454"/>
      <c r="I1959" s="295"/>
      <c r="J1959" s="295"/>
      <c r="K1959" s="295"/>
      <c r="L1959" s="295"/>
      <c r="M1959" s="302"/>
      <c r="N1959" s="302"/>
      <c r="O1959" s="303"/>
      <c r="P1959" s="295"/>
      <c r="Q1959" s="295"/>
      <c r="R1959" s="295"/>
      <c r="S1959" s="295"/>
      <c r="T1959" s="295"/>
      <c r="U1959" s="295"/>
      <c r="V1959" s="295"/>
      <c r="W1959" s="295"/>
      <c r="X1959" s="295"/>
      <c r="Y1959" s="295"/>
      <c r="Z1959" s="295"/>
      <c r="AA1959" s="295"/>
      <c r="AB1959" s="295"/>
      <c r="AC1959" s="295"/>
      <c r="AD1959" s="295"/>
      <c r="AE1959" s="295"/>
      <c r="AF1959" s="295"/>
      <c r="AG1959" s="295"/>
      <c r="AH1959" s="295"/>
      <c r="AI1959" s="295"/>
      <c r="AJ1959" s="295"/>
    </row>
    <row r="1960" spans="1:36" s="291" customFormat="1" ht="16.2">
      <c r="A1960" s="304"/>
      <c r="B1960" s="289"/>
      <c r="C1960" s="290"/>
      <c r="E1960" s="453"/>
      <c r="G1960" s="454"/>
      <c r="I1960" s="295"/>
      <c r="J1960" s="295"/>
      <c r="K1960" s="295"/>
      <c r="L1960" s="295"/>
      <c r="M1960" s="302"/>
      <c r="N1960" s="302"/>
      <c r="O1960" s="303"/>
      <c r="P1960" s="295"/>
      <c r="Q1960" s="295"/>
      <c r="R1960" s="295"/>
      <c r="S1960" s="295"/>
      <c r="T1960" s="295"/>
      <c r="U1960" s="295"/>
      <c r="V1960" s="295"/>
      <c r="W1960" s="295"/>
      <c r="X1960" s="295"/>
      <c r="Y1960" s="295"/>
      <c r="Z1960" s="295"/>
      <c r="AA1960" s="295"/>
      <c r="AB1960" s="295"/>
      <c r="AC1960" s="295"/>
      <c r="AD1960" s="295"/>
      <c r="AE1960" s="295"/>
      <c r="AF1960" s="295"/>
      <c r="AG1960" s="295"/>
      <c r="AH1960" s="295"/>
      <c r="AI1960" s="295"/>
      <c r="AJ1960" s="295"/>
    </row>
    <row r="1961" spans="1:36" s="291" customFormat="1" ht="16.2">
      <c r="A1961" s="304"/>
      <c r="B1961" s="289"/>
      <c r="C1961" s="290"/>
      <c r="E1961" s="453"/>
      <c r="G1961" s="454"/>
      <c r="I1961" s="295"/>
      <c r="J1961" s="295"/>
      <c r="K1961" s="295"/>
      <c r="L1961" s="295"/>
      <c r="M1961" s="302"/>
      <c r="N1961" s="302"/>
      <c r="O1961" s="303"/>
      <c r="P1961" s="295"/>
      <c r="Q1961" s="295"/>
      <c r="R1961" s="295"/>
      <c r="S1961" s="295"/>
      <c r="T1961" s="295"/>
      <c r="U1961" s="295"/>
      <c r="V1961" s="295"/>
      <c r="W1961" s="295"/>
      <c r="X1961" s="295"/>
      <c r="Y1961" s="295"/>
      <c r="Z1961" s="295"/>
      <c r="AA1961" s="295"/>
      <c r="AB1961" s="295"/>
      <c r="AC1961" s="295"/>
      <c r="AD1961" s="295"/>
      <c r="AE1961" s="295"/>
      <c r="AF1961" s="295"/>
      <c r="AG1961" s="295"/>
      <c r="AH1961" s="295"/>
      <c r="AI1961" s="295"/>
      <c r="AJ1961" s="295"/>
    </row>
    <row r="1962" spans="1:36" s="291" customFormat="1" ht="16.2">
      <c r="A1962" s="304"/>
      <c r="B1962" s="289"/>
      <c r="C1962" s="290"/>
      <c r="E1962" s="453"/>
      <c r="G1962" s="454"/>
      <c r="I1962" s="295"/>
      <c r="J1962" s="295"/>
      <c r="K1962" s="295"/>
      <c r="L1962" s="295"/>
      <c r="M1962" s="302"/>
      <c r="N1962" s="302"/>
      <c r="O1962" s="303"/>
      <c r="P1962" s="295"/>
      <c r="Q1962" s="295"/>
      <c r="R1962" s="295"/>
      <c r="S1962" s="295"/>
      <c r="T1962" s="295"/>
      <c r="U1962" s="295"/>
      <c r="V1962" s="295"/>
      <c r="W1962" s="295"/>
      <c r="X1962" s="295"/>
      <c r="Y1962" s="295"/>
      <c r="Z1962" s="295"/>
      <c r="AA1962" s="295"/>
      <c r="AB1962" s="295"/>
      <c r="AC1962" s="295"/>
      <c r="AD1962" s="295"/>
      <c r="AE1962" s="295"/>
      <c r="AF1962" s="295"/>
      <c r="AG1962" s="295"/>
      <c r="AH1962" s="295"/>
      <c r="AI1962" s="295"/>
      <c r="AJ1962" s="295"/>
    </row>
    <row r="1963" spans="1:36" s="291" customFormat="1" ht="16.2">
      <c r="A1963" s="304"/>
      <c r="B1963" s="289"/>
      <c r="C1963" s="290"/>
      <c r="E1963" s="453"/>
      <c r="G1963" s="454"/>
      <c r="I1963" s="295"/>
      <c r="J1963" s="295"/>
      <c r="K1963" s="295"/>
      <c r="L1963" s="295"/>
      <c r="M1963" s="302"/>
      <c r="N1963" s="302"/>
      <c r="O1963" s="303"/>
      <c r="P1963" s="295"/>
      <c r="Q1963" s="295"/>
      <c r="R1963" s="295"/>
      <c r="S1963" s="295"/>
      <c r="T1963" s="295"/>
      <c r="U1963" s="295"/>
      <c r="V1963" s="295"/>
      <c r="W1963" s="295"/>
      <c r="X1963" s="295"/>
      <c r="Y1963" s="295"/>
      <c r="Z1963" s="295"/>
      <c r="AA1963" s="295"/>
      <c r="AB1963" s="295"/>
      <c r="AC1963" s="295"/>
      <c r="AD1963" s="295"/>
      <c r="AE1963" s="295"/>
      <c r="AF1963" s="295"/>
      <c r="AG1963" s="295"/>
      <c r="AH1963" s="295"/>
      <c r="AI1963" s="295"/>
      <c r="AJ1963" s="295"/>
    </row>
    <row r="1964" spans="1:36" s="291" customFormat="1" ht="16.2">
      <c r="A1964" s="304"/>
      <c r="B1964" s="289"/>
      <c r="C1964" s="290"/>
      <c r="E1964" s="453"/>
      <c r="G1964" s="454"/>
      <c r="I1964" s="295"/>
      <c r="J1964" s="295"/>
      <c r="K1964" s="295"/>
      <c r="L1964" s="295"/>
      <c r="M1964" s="302"/>
      <c r="N1964" s="302"/>
      <c r="O1964" s="303"/>
      <c r="P1964" s="295"/>
      <c r="Q1964" s="295"/>
      <c r="R1964" s="295"/>
      <c r="S1964" s="295"/>
      <c r="T1964" s="295"/>
      <c r="U1964" s="295"/>
      <c r="V1964" s="295"/>
      <c r="W1964" s="295"/>
      <c r="X1964" s="295"/>
      <c r="Y1964" s="295"/>
      <c r="Z1964" s="295"/>
      <c r="AA1964" s="295"/>
      <c r="AB1964" s="295"/>
      <c r="AC1964" s="295"/>
      <c r="AD1964" s="295"/>
      <c r="AE1964" s="295"/>
      <c r="AF1964" s="295"/>
      <c r="AG1964" s="295"/>
      <c r="AH1964" s="295"/>
      <c r="AI1964" s="295"/>
      <c r="AJ1964" s="295"/>
    </row>
    <row r="1965" spans="1:36" s="291" customFormat="1" ht="16.2">
      <c r="A1965" s="304"/>
      <c r="B1965" s="289"/>
      <c r="C1965" s="290"/>
      <c r="E1965" s="453"/>
      <c r="G1965" s="454"/>
      <c r="I1965" s="295"/>
      <c r="J1965" s="295"/>
      <c r="K1965" s="295"/>
      <c r="L1965" s="295"/>
      <c r="M1965" s="302"/>
      <c r="N1965" s="302"/>
      <c r="O1965" s="303"/>
      <c r="P1965" s="295"/>
      <c r="Q1965" s="295"/>
      <c r="R1965" s="295"/>
      <c r="S1965" s="295"/>
      <c r="T1965" s="295"/>
      <c r="U1965" s="295"/>
      <c r="V1965" s="295"/>
      <c r="W1965" s="295"/>
      <c r="X1965" s="295"/>
      <c r="Y1965" s="295"/>
      <c r="Z1965" s="295"/>
      <c r="AA1965" s="295"/>
      <c r="AB1965" s="295"/>
      <c r="AC1965" s="295"/>
      <c r="AD1965" s="295"/>
      <c r="AE1965" s="295"/>
      <c r="AF1965" s="295"/>
      <c r="AG1965" s="295"/>
      <c r="AH1965" s="295"/>
      <c r="AI1965" s="295"/>
      <c r="AJ1965" s="295"/>
    </row>
    <row r="1966" spans="1:36" s="291" customFormat="1" ht="16.2">
      <c r="A1966" s="304"/>
      <c r="B1966" s="289"/>
      <c r="C1966" s="290"/>
      <c r="E1966" s="453"/>
      <c r="G1966" s="454"/>
      <c r="I1966" s="295"/>
      <c r="J1966" s="295"/>
      <c r="K1966" s="295"/>
      <c r="L1966" s="295"/>
      <c r="M1966" s="302"/>
      <c r="N1966" s="302"/>
      <c r="O1966" s="303"/>
      <c r="P1966" s="295"/>
      <c r="Q1966" s="295"/>
      <c r="R1966" s="295"/>
      <c r="S1966" s="295"/>
      <c r="T1966" s="295"/>
      <c r="U1966" s="295"/>
      <c r="V1966" s="295"/>
      <c r="W1966" s="295"/>
      <c r="X1966" s="295"/>
      <c r="Y1966" s="295"/>
      <c r="Z1966" s="295"/>
      <c r="AA1966" s="295"/>
      <c r="AB1966" s="295"/>
      <c r="AC1966" s="295"/>
      <c r="AD1966" s="295"/>
      <c r="AE1966" s="295"/>
      <c r="AF1966" s="295"/>
      <c r="AG1966" s="295"/>
      <c r="AH1966" s="295"/>
      <c r="AI1966" s="295"/>
      <c r="AJ1966" s="295"/>
    </row>
    <row r="1967" spans="1:36" s="291" customFormat="1" ht="16.2">
      <c r="A1967" s="304"/>
      <c r="B1967" s="289"/>
      <c r="C1967" s="290"/>
      <c r="E1967" s="453"/>
      <c r="G1967" s="454"/>
      <c r="I1967" s="295"/>
      <c r="J1967" s="295"/>
      <c r="K1967" s="295"/>
      <c r="L1967" s="295"/>
      <c r="M1967" s="302"/>
      <c r="N1967" s="302"/>
      <c r="O1967" s="303"/>
      <c r="P1967" s="295"/>
      <c r="Q1967" s="295"/>
      <c r="R1967" s="295"/>
      <c r="S1967" s="295"/>
      <c r="T1967" s="295"/>
      <c r="U1967" s="295"/>
      <c r="V1967" s="295"/>
      <c r="W1967" s="295"/>
      <c r="X1967" s="295"/>
      <c r="Y1967" s="295"/>
      <c r="Z1967" s="295"/>
      <c r="AA1967" s="295"/>
      <c r="AB1967" s="295"/>
      <c r="AC1967" s="295"/>
      <c r="AD1967" s="295"/>
      <c r="AE1967" s="295"/>
      <c r="AF1967" s="295"/>
      <c r="AG1967" s="295"/>
      <c r="AH1967" s="295"/>
      <c r="AI1967" s="295"/>
      <c r="AJ1967" s="295"/>
    </row>
    <row r="1968" spans="1:36" s="291" customFormat="1" ht="16.2">
      <c r="A1968" s="304"/>
      <c r="B1968" s="289"/>
      <c r="C1968" s="290"/>
      <c r="E1968" s="453"/>
      <c r="G1968" s="454"/>
      <c r="I1968" s="295"/>
      <c r="J1968" s="295"/>
      <c r="K1968" s="295"/>
      <c r="L1968" s="295"/>
      <c r="M1968" s="302"/>
      <c r="N1968" s="302"/>
      <c r="O1968" s="303"/>
      <c r="P1968" s="295"/>
      <c r="Q1968" s="295"/>
      <c r="R1968" s="295"/>
      <c r="S1968" s="295"/>
      <c r="T1968" s="295"/>
      <c r="U1968" s="295"/>
      <c r="V1968" s="295"/>
      <c r="W1968" s="295"/>
      <c r="X1968" s="295"/>
      <c r="Y1968" s="295"/>
      <c r="Z1968" s="295"/>
      <c r="AA1968" s="295"/>
      <c r="AB1968" s="295"/>
      <c r="AC1968" s="295"/>
      <c r="AD1968" s="295"/>
      <c r="AE1968" s="295"/>
      <c r="AF1968" s="295"/>
      <c r="AG1968" s="295"/>
      <c r="AH1968" s="295"/>
      <c r="AI1968" s="295"/>
      <c r="AJ1968" s="295"/>
    </row>
    <row r="1969" spans="1:36" s="291" customFormat="1" ht="16.2">
      <c r="A1969" s="304"/>
      <c r="B1969" s="289"/>
      <c r="C1969" s="290"/>
      <c r="E1969" s="453"/>
      <c r="G1969" s="454"/>
      <c r="I1969" s="295"/>
      <c r="J1969" s="295"/>
      <c r="K1969" s="295"/>
      <c r="L1969" s="295"/>
      <c r="M1969" s="302"/>
      <c r="N1969" s="302"/>
      <c r="O1969" s="303"/>
      <c r="P1969" s="295"/>
      <c r="Q1969" s="295"/>
      <c r="R1969" s="295"/>
      <c r="S1969" s="295"/>
      <c r="T1969" s="295"/>
      <c r="U1969" s="295"/>
      <c r="V1969" s="295"/>
      <c r="W1969" s="295"/>
      <c r="X1969" s="295"/>
      <c r="Y1969" s="295"/>
      <c r="Z1969" s="295"/>
      <c r="AA1969" s="295"/>
      <c r="AB1969" s="295"/>
      <c r="AC1969" s="295"/>
      <c r="AD1969" s="295"/>
      <c r="AE1969" s="295"/>
      <c r="AF1969" s="295"/>
      <c r="AG1969" s="295"/>
      <c r="AH1969" s="295"/>
      <c r="AI1969" s="295"/>
      <c r="AJ1969" s="295"/>
    </row>
    <row r="1970" spans="1:36" s="291" customFormat="1" ht="16.2">
      <c r="A1970" s="304"/>
      <c r="B1970" s="289"/>
      <c r="C1970" s="290"/>
      <c r="E1970" s="453"/>
      <c r="G1970" s="454"/>
      <c r="I1970" s="295"/>
      <c r="J1970" s="295"/>
      <c r="K1970" s="295"/>
      <c r="L1970" s="295"/>
      <c r="M1970" s="302"/>
      <c r="N1970" s="302"/>
      <c r="O1970" s="303"/>
      <c r="P1970" s="295"/>
      <c r="Q1970" s="295"/>
      <c r="R1970" s="295"/>
      <c r="S1970" s="295"/>
      <c r="T1970" s="295"/>
      <c r="U1970" s="295"/>
      <c r="V1970" s="295"/>
      <c r="W1970" s="295"/>
      <c r="X1970" s="295"/>
      <c r="Y1970" s="295"/>
      <c r="Z1970" s="295"/>
      <c r="AA1970" s="295"/>
      <c r="AB1970" s="295"/>
      <c r="AC1970" s="295"/>
      <c r="AD1970" s="295"/>
      <c r="AE1970" s="295"/>
      <c r="AF1970" s="295"/>
      <c r="AG1970" s="295"/>
      <c r="AH1970" s="295"/>
      <c r="AI1970" s="295"/>
      <c r="AJ1970" s="295"/>
    </row>
    <row r="1971" spans="1:36" s="291" customFormat="1" ht="16.2">
      <c r="A1971" s="304"/>
      <c r="B1971" s="289"/>
      <c r="C1971" s="290"/>
      <c r="E1971" s="453"/>
      <c r="G1971" s="454"/>
      <c r="I1971" s="295"/>
      <c r="J1971" s="295"/>
      <c r="K1971" s="295"/>
      <c r="L1971" s="295"/>
      <c r="M1971" s="302"/>
      <c r="N1971" s="302"/>
      <c r="O1971" s="303"/>
      <c r="P1971" s="295"/>
      <c r="Q1971" s="295"/>
      <c r="R1971" s="295"/>
      <c r="S1971" s="295"/>
      <c r="T1971" s="295"/>
      <c r="U1971" s="295"/>
      <c r="V1971" s="295"/>
      <c r="W1971" s="295"/>
      <c r="X1971" s="295"/>
      <c r="Y1971" s="295"/>
      <c r="Z1971" s="295"/>
      <c r="AA1971" s="295"/>
      <c r="AB1971" s="295"/>
      <c r="AC1971" s="295"/>
      <c r="AD1971" s="295"/>
      <c r="AE1971" s="295"/>
      <c r="AF1971" s="295"/>
      <c r="AG1971" s="295"/>
      <c r="AH1971" s="295"/>
      <c r="AI1971" s="295"/>
      <c r="AJ1971" s="295"/>
    </row>
    <row r="1972" spans="1:36" s="291" customFormat="1" ht="16.2">
      <c r="A1972" s="304"/>
      <c r="B1972" s="289"/>
      <c r="C1972" s="290"/>
      <c r="E1972" s="453"/>
      <c r="G1972" s="454"/>
      <c r="I1972" s="295"/>
      <c r="J1972" s="295"/>
      <c r="K1972" s="295"/>
      <c r="L1972" s="295"/>
      <c r="M1972" s="302"/>
      <c r="N1972" s="302"/>
      <c r="O1972" s="303"/>
      <c r="P1972" s="295"/>
      <c r="Q1972" s="295"/>
      <c r="R1972" s="295"/>
      <c r="S1972" s="295"/>
      <c r="T1972" s="295"/>
      <c r="U1972" s="295"/>
      <c r="V1972" s="295"/>
      <c r="W1972" s="295"/>
      <c r="X1972" s="295"/>
      <c r="Y1972" s="295"/>
      <c r="Z1972" s="295"/>
      <c r="AA1972" s="295"/>
      <c r="AB1972" s="295"/>
      <c r="AC1972" s="295"/>
      <c r="AD1972" s="295"/>
      <c r="AE1972" s="295"/>
      <c r="AF1972" s="295"/>
      <c r="AG1972" s="295"/>
      <c r="AH1972" s="295"/>
      <c r="AI1972" s="295"/>
      <c r="AJ1972" s="295"/>
    </row>
    <row r="1973" spans="1:36" s="291" customFormat="1" ht="16.2">
      <c r="A1973" s="304"/>
      <c r="B1973" s="289"/>
      <c r="C1973" s="290"/>
      <c r="E1973" s="453"/>
      <c r="G1973" s="454"/>
      <c r="I1973" s="295"/>
      <c r="J1973" s="295"/>
      <c r="K1973" s="295"/>
      <c r="L1973" s="295"/>
      <c r="M1973" s="302"/>
      <c r="N1973" s="302"/>
      <c r="O1973" s="303"/>
      <c r="P1973" s="295"/>
      <c r="Q1973" s="295"/>
      <c r="R1973" s="295"/>
      <c r="S1973" s="295"/>
      <c r="T1973" s="295"/>
      <c r="U1973" s="295"/>
      <c r="V1973" s="295"/>
      <c r="W1973" s="295"/>
      <c r="X1973" s="295"/>
      <c r="Y1973" s="295"/>
      <c r="Z1973" s="295"/>
      <c r="AA1973" s="295"/>
      <c r="AB1973" s="295"/>
      <c r="AC1973" s="295"/>
      <c r="AD1973" s="295"/>
      <c r="AE1973" s="295"/>
      <c r="AF1973" s="295"/>
      <c r="AG1973" s="295"/>
      <c r="AH1973" s="295"/>
      <c r="AI1973" s="295"/>
      <c r="AJ1973" s="295"/>
    </row>
    <row r="1974" spans="1:36" s="291" customFormat="1" ht="16.2">
      <c r="A1974" s="304"/>
      <c r="B1974" s="289"/>
      <c r="C1974" s="290"/>
      <c r="E1974" s="453"/>
      <c r="G1974" s="454"/>
      <c r="I1974" s="295"/>
      <c r="J1974" s="295"/>
      <c r="K1974" s="295"/>
      <c r="L1974" s="295"/>
      <c r="M1974" s="302"/>
      <c r="N1974" s="302"/>
      <c r="O1974" s="303"/>
      <c r="P1974" s="295"/>
      <c r="Q1974" s="295"/>
      <c r="R1974" s="295"/>
      <c r="S1974" s="295"/>
      <c r="T1974" s="295"/>
      <c r="U1974" s="295"/>
      <c r="V1974" s="295"/>
      <c r="W1974" s="295"/>
      <c r="X1974" s="295"/>
      <c r="Y1974" s="295"/>
      <c r="Z1974" s="295"/>
      <c r="AA1974" s="295"/>
      <c r="AB1974" s="295"/>
      <c r="AC1974" s="295"/>
      <c r="AD1974" s="295"/>
      <c r="AE1974" s="295"/>
      <c r="AF1974" s="295"/>
      <c r="AG1974" s="295"/>
      <c r="AH1974" s="295"/>
      <c r="AI1974" s="295"/>
      <c r="AJ1974" s="295"/>
    </row>
    <row r="1975" spans="1:36" s="291" customFormat="1" ht="16.2">
      <c r="A1975" s="304"/>
      <c r="B1975" s="289"/>
      <c r="C1975" s="290"/>
      <c r="E1975" s="453"/>
      <c r="G1975" s="454"/>
      <c r="I1975" s="295"/>
      <c r="J1975" s="295"/>
      <c r="K1975" s="295"/>
      <c r="L1975" s="295"/>
      <c r="M1975" s="302"/>
      <c r="N1975" s="302"/>
      <c r="O1975" s="303"/>
      <c r="P1975" s="295"/>
      <c r="Q1975" s="295"/>
      <c r="R1975" s="295"/>
      <c r="S1975" s="295"/>
      <c r="T1975" s="295"/>
      <c r="U1975" s="295"/>
      <c r="V1975" s="295"/>
      <c r="W1975" s="295"/>
      <c r="X1975" s="295"/>
      <c r="Y1975" s="295"/>
      <c r="Z1975" s="295"/>
      <c r="AA1975" s="295"/>
      <c r="AB1975" s="295"/>
      <c r="AC1975" s="295"/>
      <c r="AD1975" s="295"/>
      <c r="AE1975" s="295"/>
      <c r="AF1975" s="295"/>
      <c r="AG1975" s="295"/>
      <c r="AH1975" s="295"/>
      <c r="AI1975" s="295"/>
      <c r="AJ1975" s="295"/>
    </row>
    <row r="1976" spans="1:36" s="291" customFormat="1" ht="16.2">
      <c r="A1976" s="304"/>
      <c r="B1976" s="289"/>
      <c r="C1976" s="290"/>
      <c r="E1976" s="453"/>
      <c r="G1976" s="454"/>
      <c r="I1976" s="295"/>
      <c r="J1976" s="295"/>
      <c r="K1976" s="295"/>
      <c r="L1976" s="295"/>
      <c r="M1976" s="302"/>
      <c r="N1976" s="302"/>
      <c r="O1976" s="303"/>
      <c r="P1976" s="295"/>
      <c r="Q1976" s="295"/>
      <c r="R1976" s="295"/>
      <c r="S1976" s="295"/>
      <c r="T1976" s="295"/>
      <c r="U1976" s="295"/>
      <c r="V1976" s="295"/>
      <c r="W1976" s="295"/>
      <c r="X1976" s="295"/>
      <c r="Y1976" s="295"/>
      <c r="Z1976" s="295"/>
      <c r="AA1976" s="295"/>
      <c r="AB1976" s="295"/>
      <c r="AC1976" s="295"/>
      <c r="AD1976" s="295"/>
      <c r="AE1976" s="295"/>
      <c r="AF1976" s="295"/>
      <c r="AG1976" s="295"/>
      <c r="AH1976" s="295"/>
      <c r="AI1976" s="295"/>
      <c r="AJ1976" s="295"/>
    </row>
    <row r="1977" spans="1:36" s="291" customFormat="1" ht="16.2">
      <c r="A1977" s="304"/>
      <c r="B1977" s="289"/>
      <c r="C1977" s="290"/>
      <c r="E1977" s="453"/>
      <c r="G1977" s="454"/>
      <c r="I1977" s="295"/>
      <c r="J1977" s="295"/>
      <c r="K1977" s="295"/>
      <c r="L1977" s="295"/>
      <c r="M1977" s="302"/>
      <c r="N1977" s="302"/>
      <c r="O1977" s="303"/>
      <c r="P1977" s="295"/>
      <c r="Q1977" s="295"/>
      <c r="R1977" s="295"/>
      <c r="S1977" s="295"/>
      <c r="T1977" s="295"/>
      <c r="U1977" s="295"/>
      <c r="V1977" s="295"/>
      <c r="W1977" s="295"/>
      <c r="X1977" s="295"/>
      <c r="Y1977" s="295"/>
      <c r="Z1977" s="295"/>
      <c r="AA1977" s="295"/>
      <c r="AB1977" s="295"/>
      <c r="AC1977" s="295"/>
      <c r="AD1977" s="295"/>
      <c r="AE1977" s="295"/>
      <c r="AF1977" s="295"/>
      <c r="AG1977" s="295"/>
      <c r="AH1977" s="295"/>
      <c r="AI1977" s="295"/>
      <c r="AJ1977" s="295"/>
    </row>
    <row r="1978" spans="1:36" s="291" customFormat="1" ht="16.2">
      <c r="A1978" s="304"/>
      <c r="B1978" s="289"/>
      <c r="C1978" s="290"/>
      <c r="E1978" s="453"/>
      <c r="G1978" s="454"/>
      <c r="I1978" s="295"/>
      <c r="J1978" s="295"/>
      <c r="K1978" s="295"/>
      <c r="L1978" s="295"/>
      <c r="M1978" s="302"/>
      <c r="N1978" s="302"/>
      <c r="O1978" s="303"/>
      <c r="P1978" s="295"/>
      <c r="Q1978" s="295"/>
      <c r="R1978" s="295"/>
      <c r="S1978" s="295"/>
      <c r="T1978" s="295"/>
      <c r="U1978" s="295"/>
      <c r="V1978" s="295"/>
      <c r="W1978" s="295"/>
      <c r="X1978" s="295"/>
      <c r="Y1978" s="295"/>
      <c r="Z1978" s="295"/>
      <c r="AA1978" s="295"/>
      <c r="AB1978" s="295"/>
      <c r="AC1978" s="295"/>
      <c r="AD1978" s="295"/>
      <c r="AE1978" s="295"/>
      <c r="AF1978" s="295"/>
      <c r="AG1978" s="295"/>
      <c r="AH1978" s="295"/>
      <c r="AI1978" s="295"/>
      <c r="AJ1978" s="295"/>
    </row>
    <row r="1979" spans="1:36" s="291" customFormat="1" ht="16.2">
      <c r="A1979" s="304"/>
      <c r="B1979" s="289"/>
      <c r="C1979" s="290"/>
      <c r="E1979" s="453"/>
      <c r="G1979" s="454"/>
      <c r="I1979" s="295"/>
      <c r="J1979" s="295"/>
      <c r="K1979" s="295"/>
      <c r="L1979" s="295"/>
      <c r="M1979" s="302"/>
      <c r="N1979" s="302"/>
      <c r="O1979" s="303"/>
      <c r="P1979" s="295"/>
      <c r="Q1979" s="295"/>
      <c r="R1979" s="295"/>
      <c r="S1979" s="295"/>
      <c r="T1979" s="295"/>
      <c r="U1979" s="295"/>
      <c r="V1979" s="295"/>
      <c r="W1979" s="295"/>
      <c r="X1979" s="295"/>
      <c r="Y1979" s="295"/>
      <c r="Z1979" s="295"/>
      <c r="AA1979" s="295"/>
      <c r="AB1979" s="295"/>
      <c r="AC1979" s="295"/>
      <c r="AD1979" s="295"/>
      <c r="AE1979" s="295"/>
      <c r="AF1979" s="295"/>
      <c r="AG1979" s="295"/>
      <c r="AH1979" s="295"/>
      <c r="AI1979" s="295"/>
      <c r="AJ1979" s="295"/>
    </row>
    <row r="1980" spans="1:36" s="291" customFormat="1" ht="16.2">
      <c r="A1980" s="304"/>
      <c r="B1980" s="289"/>
      <c r="C1980" s="290"/>
      <c r="E1980" s="453"/>
      <c r="G1980" s="454"/>
      <c r="I1980" s="295"/>
      <c r="J1980" s="295"/>
      <c r="K1980" s="295"/>
      <c r="L1980" s="295"/>
      <c r="M1980" s="302"/>
      <c r="N1980" s="302"/>
      <c r="O1980" s="303"/>
      <c r="P1980" s="295"/>
      <c r="Q1980" s="295"/>
      <c r="R1980" s="295"/>
      <c r="S1980" s="295"/>
      <c r="T1980" s="295"/>
      <c r="U1980" s="295"/>
      <c r="V1980" s="295"/>
      <c r="W1980" s="295"/>
      <c r="X1980" s="295"/>
      <c r="Y1980" s="295"/>
      <c r="Z1980" s="295"/>
      <c r="AA1980" s="295"/>
      <c r="AB1980" s="295"/>
      <c r="AC1980" s="295"/>
      <c r="AD1980" s="295"/>
      <c r="AE1980" s="295"/>
      <c r="AF1980" s="295"/>
      <c r="AG1980" s="295"/>
      <c r="AH1980" s="295"/>
      <c r="AI1980" s="295"/>
      <c r="AJ1980" s="295"/>
    </row>
    <row r="1981" spans="1:36" s="291" customFormat="1" ht="16.2">
      <c r="A1981" s="304"/>
      <c r="B1981" s="289"/>
      <c r="C1981" s="290"/>
      <c r="E1981" s="453"/>
      <c r="G1981" s="454"/>
      <c r="I1981" s="295"/>
      <c r="J1981" s="295"/>
      <c r="K1981" s="295"/>
      <c r="L1981" s="295"/>
      <c r="M1981" s="302"/>
      <c r="N1981" s="302"/>
      <c r="O1981" s="303"/>
      <c r="P1981" s="295"/>
      <c r="Q1981" s="295"/>
      <c r="R1981" s="295"/>
      <c r="S1981" s="295"/>
      <c r="T1981" s="295"/>
      <c r="U1981" s="295"/>
      <c r="V1981" s="295"/>
      <c r="W1981" s="295"/>
      <c r="X1981" s="295"/>
      <c r="Y1981" s="295"/>
      <c r="Z1981" s="295"/>
      <c r="AA1981" s="295"/>
      <c r="AB1981" s="295"/>
      <c r="AC1981" s="295"/>
      <c r="AD1981" s="295"/>
      <c r="AE1981" s="295"/>
      <c r="AF1981" s="295"/>
      <c r="AG1981" s="295"/>
      <c r="AH1981" s="295"/>
      <c r="AI1981" s="295"/>
      <c r="AJ1981" s="295"/>
    </row>
    <row r="1982" spans="1:36" s="291" customFormat="1" ht="16.2">
      <c r="A1982" s="304"/>
      <c r="B1982" s="289"/>
      <c r="C1982" s="290"/>
      <c r="E1982" s="453"/>
      <c r="G1982" s="454"/>
      <c r="I1982" s="295"/>
      <c r="J1982" s="295"/>
      <c r="K1982" s="295"/>
      <c r="L1982" s="295"/>
      <c r="M1982" s="302"/>
      <c r="N1982" s="302"/>
      <c r="O1982" s="303"/>
      <c r="P1982" s="295"/>
      <c r="Q1982" s="295"/>
      <c r="R1982" s="295"/>
      <c r="S1982" s="295"/>
      <c r="T1982" s="295"/>
      <c r="U1982" s="295"/>
      <c r="V1982" s="295"/>
      <c r="W1982" s="295"/>
      <c r="X1982" s="295"/>
      <c r="Y1982" s="295"/>
      <c r="Z1982" s="295"/>
      <c r="AA1982" s="295"/>
      <c r="AB1982" s="295"/>
      <c r="AC1982" s="295"/>
      <c r="AD1982" s="295"/>
      <c r="AE1982" s="295"/>
      <c r="AF1982" s="295"/>
      <c r="AG1982" s="295"/>
      <c r="AH1982" s="295"/>
      <c r="AI1982" s="295"/>
      <c r="AJ1982" s="295"/>
    </row>
    <row r="1983" spans="1:36" s="291" customFormat="1" ht="16.2">
      <c r="A1983" s="304"/>
      <c r="B1983" s="289"/>
      <c r="C1983" s="290"/>
      <c r="E1983" s="453"/>
      <c r="G1983" s="454"/>
      <c r="I1983" s="295"/>
      <c r="J1983" s="295"/>
      <c r="K1983" s="295"/>
      <c r="L1983" s="295"/>
      <c r="M1983" s="302"/>
      <c r="N1983" s="302"/>
      <c r="O1983" s="303"/>
      <c r="P1983" s="295"/>
      <c r="Q1983" s="295"/>
      <c r="R1983" s="295"/>
      <c r="S1983" s="295"/>
      <c r="T1983" s="295"/>
      <c r="U1983" s="295"/>
      <c r="V1983" s="295"/>
      <c r="W1983" s="295"/>
      <c r="X1983" s="295"/>
      <c r="Y1983" s="295"/>
      <c r="Z1983" s="295"/>
      <c r="AA1983" s="295"/>
      <c r="AB1983" s="295"/>
      <c r="AC1983" s="295"/>
      <c r="AD1983" s="295"/>
      <c r="AE1983" s="295"/>
      <c r="AF1983" s="295"/>
      <c r="AG1983" s="295"/>
      <c r="AH1983" s="295"/>
      <c r="AI1983" s="295"/>
      <c r="AJ1983" s="295"/>
    </row>
    <row r="1984" spans="1:36" s="291" customFormat="1" ht="16.2">
      <c r="A1984" s="304"/>
      <c r="B1984" s="289"/>
      <c r="C1984" s="290"/>
      <c r="E1984" s="453"/>
      <c r="G1984" s="454"/>
      <c r="I1984" s="295"/>
      <c r="J1984" s="295"/>
      <c r="K1984" s="295"/>
      <c r="L1984" s="295"/>
      <c r="M1984" s="302"/>
      <c r="N1984" s="302"/>
      <c r="O1984" s="303"/>
      <c r="P1984" s="295"/>
      <c r="Q1984" s="295"/>
      <c r="R1984" s="295"/>
      <c r="S1984" s="295"/>
      <c r="T1984" s="295"/>
      <c r="U1984" s="295"/>
      <c r="V1984" s="295"/>
      <c r="W1984" s="295"/>
      <c r="X1984" s="295"/>
      <c r="Y1984" s="295"/>
      <c r="Z1984" s="295"/>
      <c r="AA1984" s="295"/>
      <c r="AB1984" s="295"/>
      <c r="AC1984" s="295"/>
      <c r="AD1984" s="295"/>
      <c r="AE1984" s="295"/>
      <c r="AF1984" s="295"/>
      <c r="AG1984" s="295"/>
      <c r="AH1984" s="295"/>
      <c r="AI1984" s="295"/>
      <c r="AJ1984" s="295"/>
    </row>
    <row r="1985" spans="1:36" s="291" customFormat="1" ht="16.2">
      <c r="A1985" s="304"/>
      <c r="B1985" s="289"/>
      <c r="C1985" s="290"/>
      <c r="E1985" s="453"/>
      <c r="G1985" s="454"/>
      <c r="I1985" s="295"/>
      <c r="J1985" s="295"/>
      <c r="K1985" s="295"/>
      <c r="L1985" s="295"/>
      <c r="M1985" s="302"/>
      <c r="N1985" s="302"/>
      <c r="O1985" s="303"/>
      <c r="P1985" s="295"/>
      <c r="Q1985" s="295"/>
      <c r="R1985" s="295"/>
      <c r="S1985" s="295"/>
      <c r="T1985" s="295"/>
      <c r="U1985" s="295"/>
      <c r="V1985" s="295"/>
      <c r="W1985" s="295"/>
      <c r="X1985" s="295"/>
      <c r="Y1985" s="295"/>
      <c r="Z1985" s="295"/>
      <c r="AA1985" s="295"/>
      <c r="AB1985" s="295"/>
      <c r="AC1985" s="295"/>
      <c r="AD1985" s="295"/>
      <c r="AE1985" s="295"/>
      <c r="AF1985" s="295"/>
      <c r="AG1985" s="295"/>
      <c r="AH1985" s="295"/>
      <c r="AI1985" s="295"/>
      <c r="AJ1985" s="295"/>
    </row>
    <row r="1986" spans="1:36" s="291" customFormat="1" ht="16.2">
      <c r="A1986" s="304"/>
      <c r="B1986" s="289"/>
      <c r="C1986" s="290"/>
      <c r="E1986" s="453"/>
      <c r="G1986" s="454"/>
      <c r="I1986" s="295"/>
      <c r="J1986" s="295"/>
      <c r="K1986" s="295"/>
      <c r="L1986" s="295"/>
      <c r="M1986" s="302"/>
      <c r="N1986" s="302"/>
      <c r="O1986" s="303"/>
      <c r="P1986" s="295"/>
      <c r="Q1986" s="295"/>
      <c r="R1986" s="295"/>
      <c r="S1986" s="295"/>
      <c r="T1986" s="295"/>
      <c r="U1986" s="295"/>
      <c r="V1986" s="295"/>
      <c r="W1986" s="295"/>
      <c r="X1986" s="295"/>
      <c r="Y1986" s="295"/>
      <c r="Z1986" s="295"/>
      <c r="AA1986" s="295"/>
      <c r="AB1986" s="295"/>
      <c r="AC1986" s="295"/>
      <c r="AD1986" s="295"/>
      <c r="AE1986" s="295"/>
      <c r="AF1986" s="295"/>
      <c r="AG1986" s="295"/>
      <c r="AH1986" s="295"/>
      <c r="AI1986" s="295"/>
      <c r="AJ1986" s="295"/>
    </row>
    <row r="1987" spans="1:36" s="291" customFormat="1" ht="16.2">
      <c r="A1987" s="304"/>
      <c r="B1987" s="289"/>
      <c r="C1987" s="290"/>
      <c r="E1987" s="453"/>
      <c r="G1987" s="454"/>
      <c r="I1987" s="295"/>
      <c r="J1987" s="295"/>
      <c r="K1987" s="295"/>
      <c r="L1987" s="295"/>
      <c r="M1987" s="302"/>
      <c r="N1987" s="302"/>
      <c r="O1987" s="303"/>
      <c r="P1987" s="295"/>
      <c r="Q1987" s="295"/>
      <c r="R1987" s="295"/>
      <c r="S1987" s="295"/>
      <c r="T1987" s="295"/>
      <c r="U1987" s="295"/>
      <c r="V1987" s="295"/>
      <c r="W1987" s="295"/>
      <c r="X1987" s="295"/>
      <c r="Y1987" s="295"/>
      <c r="Z1987" s="295"/>
      <c r="AA1987" s="295"/>
      <c r="AB1987" s="295"/>
      <c r="AC1987" s="295"/>
      <c r="AD1987" s="295"/>
      <c r="AE1987" s="295"/>
      <c r="AF1987" s="295"/>
      <c r="AG1987" s="295"/>
      <c r="AH1987" s="295"/>
      <c r="AI1987" s="295"/>
      <c r="AJ1987" s="295"/>
    </row>
    <row r="1988" spans="1:36" s="291" customFormat="1" ht="16.2">
      <c r="A1988" s="304"/>
      <c r="B1988" s="289"/>
      <c r="C1988" s="290"/>
      <c r="E1988" s="453"/>
      <c r="G1988" s="454"/>
      <c r="I1988" s="295"/>
      <c r="J1988" s="295"/>
      <c r="K1988" s="295"/>
      <c r="L1988" s="295"/>
      <c r="M1988" s="302"/>
      <c r="N1988" s="302"/>
      <c r="O1988" s="303"/>
      <c r="P1988" s="295"/>
      <c r="Q1988" s="295"/>
      <c r="R1988" s="295"/>
      <c r="S1988" s="295"/>
      <c r="T1988" s="295"/>
      <c r="U1988" s="295"/>
      <c r="V1988" s="295"/>
      <c r="W1988" s="295"/>
      <c r="X1988" s="295"/>
      <c r="Y1988" s="295"/>
      <c r="Z1988" s="295"/>
      <c r="AA1988" s="295"/>
      <c r="AB1988" s="295"/>
      <c r="AC1988" s="295"/>
      <c r="AD1988" s="295"/>
      <c r="AE1988" s="295"/>
      <c r="AF1988" s="295"/>
      <c r="AG1988" s="295"/>
      <c r="AH1988" s="295"/>
      <c r="AI1988" s="295"/>
      <c r="AJ1988" s="295"/>
    </row>
    <row r="1989" spans="1:36" s="291" customFormat="1" ht="16.2">
      <c r="A1989" s="304"/>
      <c r="B1989" s="289"/>
      <c r="C1989" s="290"/>
      <c r="E1989" s="453"/>
      <c r="G1989" s="454"/>
      <c r="I1989" s="295"/>
      <c r="J1989" s="295"/>
      <c r="K1989" s="295"/>
      <c r="L1989" s="295"/>
      <c r="M1989" s="302"/>
      <c r="N1989" s="302"/>
      <c r="O1989" s="303"/>
      <c r="P1989" s="295"/>
      <c r="Q1989" s="295"/>
      <c r="R1989" s="295"/>
      <c r="S1989" s="295"/>
      <c r="T1989" s="295"/>
      <c r="U1989" s="295"/>
      <c r="V1989" s="295"/>
      <c r="W1989" s="295"/>
      <c r="X1989" s="295"/>
      <c r="Y1989" s="295"/>
      <c r="Z1989" s="295"/>
      <c r="AA1989" s="295"/>
      <c r="AB1989" s="295"/>
      <c r="AC1989" s="295"/>
      <c r="AD1989" s="295"/>
      <c r="AE1989" s="295"/>
      <c r="AF1989" s="295"/>
      <c r="AG1989" s="295"/>
      <c r="AH1989" s="295"/>
      <c r="AI1989" s="295"/>
      <c r="AJ1989" s="295"/>
    </row>
    <row r="1990" spans="1:36" s="291" customFormat="1" ht="16.2">
      <c r="A1990" s="304"/>
      <c r="B1990" s="289"/>
      <c r="C1990" s="290"/>
      <c r="E1990" s="453"/>
      <c r="G1990" s="454"/>
      <c r="I1990" s="295"/>
      <c r="J1990" s="295"/>
      <c r="K1990" s="295"/>
      <c r="L1990" s="295"/>
      <c r="M1990" s="302"/>
      <c r="N1990" s="302"/>
      <c r="O1990" s="303"/>
      <c r="P1990" s="295"/>
      <c r="Q1990" s="295"/>
      <c r="R1990" s="295"/>
      <c r="S1990" s="295"/>
      <c r="T1990" s="295"/>
      <c r="U1990" s="295"/>
      <c r="V1990" s="295"/>
      <c r="W1990" s="295"/>
      <c r="X1990" s="295"/>
      <c r="Y1990" s="295"/>
      <c r="Z1990" s="295"/>
      <c r="AA1990" s="295"/>
      <c r="AB1990" s="295"/>
      <c r="AC1990" s="295"/>
      <c r="AD1990" s="295"/>
      <c r="AE1990" s="295"/>
      <c r="AF1990" s="295"/>
      <c r="AG1990" s="295"/>
      <c r="AH1990" s="295"/>
      <c r="AI1990" s="295"/>
      <c r="AJ1990" s="295"/>
    </row>
    <row r="1991" spans="1:36" s="291" customFormat="1" ht="16.2">
      <c r="A1991" s="304"/>
      <c r="B1991" s="289"/>
      <c r="C1991" s="290"/>
      <c r="E1991" s="453"/>
      <c r="G1991" s="454"/>
      <c r="I1991" s="295"/>
      <c r="J1991" s="295"/>
      <c r="K1991" s="295"/>
      <c r="L1991" s="295"/>
      <c r="M1991" s="302"/>
      <c r="N1991" s="302"/>
      <c r="O1991" s="303"/>
      <c r="P1991" s="295"/>
      <c r="Q1991" s="295"/>
      <c r="R1991" s="295"/>
      <c r="S1991" s="295"/>
      <c r="T1991" s="295"/>
      <c r="U1991" s="295"/>
      <c r="V1991" s="295"/>
      <c r="W1991" s="295"/>
      <c r="X1991" s="295"/>
      <c r="Y1991" s="295"/>
      <c r="Z1991" s="295"/>
      <c r="AA1991" s="295"/>
      <c r="AB1991" s="295"/>
      <c r="AC1991" s="295"/>
      <c r="AD1991" s="295"/>
      <c r="AE1991" s="295"/>
      <c r="AF1991" s="295"/>
      <c r="AG1991" s="295"/>
      <c r="AH1991" s="295"/>
      <c r="AI1991" s="295"/>
      <c r="AJ1991" s="295"/>
    </row>
    <row r="1992" spans="1:36" s="291" customFormat="1" ht="16.2">
      <c r="A1992" s="304"/>
      <c r="B1992" s="289"/>
      <c r="C1992" s="290"/>
      <c r="E1992" s="453"/>
      <c r="G1992" s="454"/>
      <c r="I1992" s="295"/>
      <c r="J1992" s="295"/>
      <c r="K1992" s="295"/>
      <c r="L1992" s="295"/>
      <c r="M1992" s="302"/>
      <c r="N1992" s="302"/>
      <c r="O1992" s="303"/>
      <c r="P1992" s="295"/>
      <c r="Q1992" s="295"/>
      <c r="R1992" s="295"/>
      <c r="S1992" s="295"/>
      <c r="T1992" s="295"/>
      <c r="U1992" s="295"/>
      <c r="V1992" s="295"/>
      <c r="W1992" s="295"/>
      <c r="X1992" s="295"/>
      <c r="Y1992" s="295"/>
      <c r="Z1992" s="295"/>
      <c r="AA1992" s="295"/>
      <c r="AB1992" s="295"/>
      <c r="AC1992" s="295"/>
      <c r="AD1992" s="295"/>
      <c r="AE1992" s="295"/>
      <c r="AF1992" s="295"/>
      <c r="AG1992" s="295"/>
      <c r="AH1992" s="295"/>
      <c r="AI1992" s="295"/>
      <c r="AJ1992" s="295"/>
    </row>
    <row r="1993" spans="1:36" s="291" customFormat="1" ht="16.2">
      <c r="A1993" s="304"/>
      <c r="B1993" s="289"/>
      <c r="C1993" s="290"/>
      <c r="E1993" s="453"/>
      <c r="G1993" s="454"/>
      <c r="I1993" s="295"/>
      <c r="J1993" s="295"/>
      <c r="K1993" s="295"/>
      <c r="L1993" s="295"/>
      <c r="M1993" s="302"/>
      <c r="N1993" s="302"/>
      <c r="O1993" s="303"/>
      <c r="P1993" s="295"/>
      <c r="Q1993" s="295"/>
      <c r="R1993" s="295"/>
      <c r="S1993" s="295"/>
      <c r="T1993" s="295"/>
      <c r="U1993" s="295"/>
      <c r="V1993" s="295"/>
      <c r="W1993" s="295"/>
      <c r="X1993" s="295"/>
      <c r="Y1993" s="295"/>
      <c r="Z1993" s="295"/>
      <c r="AA1993" s="295"/>
      <c r="AB1993" s="295"/>
      <c r="AC1993" s="295"/>
      <c r="AD1993" s="295"/>
      <c r="AE1993" s="295"/>
      <c r="AF1993" s="295"/>
      <c r="AG1993" s="295"/>
      <c r="AH1993" s="295"/>
      <c r="AI1993" s="295"/>
      <c r="AJ1993" s="295"/>
    </row>
    <row r="1994" spans="1:36" s="291" customFormat="1" ht="16.2">
      <c r="A1994" s="304"/>
      <c r="B1994" s="289"/>
      <c r="C1994" s="290"/>
      <c r="E1994" s="453"/>
      <c r="G1994" s="454"/>
      <c r="I1994" s="295"/>
      <c r="J1994" s="295"/>
      <c r="K1994" s="295"/>
      <c r="L1994" s="295"/>
      <c r="M1994" s="302"/>
      <c r="N1994" s="302"/>
      <c r="O1994" s="303"/>
      <c r="P1994" s="295"/>
      <c r="Q1994" s="295"/>
      <c r="R1994" s="295"/>
      <c r="S1994" s="295"/>
      <c r="T1994" s="295"/>
      <c r="U1994" s="295"/>
      <c r="V1994" s="295"/>
      <c r="W1994" s="295"/>
      <c r="X1994" s="295"/>
      <c r="Y1994" s="295"/>
      <c r="Z1994" s="295"/>
      <c r="AA1994" s="295"/>
      <c r="AB1994" s="295"/>
      <c r="AC1994" s="295"/>
      <c r="AD1994" s="295"/>
      <c r="AE1994" s="295"/>
      <c r="AF1994" s="295"/>
      <c r="AG1994" s="295"/>
      <c r="AH1994" s="295"/>
      <c r="AI1994" s="295"/>
      <c r="AJ1994" s="295"/>
    </row>
    <row r="1995" spans="1:36" s="291" customFormat="1" ht="16.2">
      <c r="A1995" s="304"/>
      <c r="B1995" s="289"/>
      <c r="C1995" s="290"/>
      <c r="E1995" s="453"/>
      <c r="G1995" s="454"/>
      <c r="I1995" s="295"/>
      <c r="J1995" s="295"/>
      <c r="K1995" s="295"/>
      <c r="L1995" s="295"/>
      <c r="M1995" s="302"/>
      <c r="N1995" s="302"/>
      <c r="O1995" s="303"/>
      <c r="P1995" s="295"/>
      <c r="Q1995" s="295"/>
      <c r="R1995" s="295"/>
      <c r="S1995" s="295"/>
      <c r="T1995" s="295"/>
      <c r="U1995" s="295"/>
      <c r="V1995" s="295"/>
      <c r="W1995" s="295"/>
      <c r="X1995" s="295"/>
      <c r="Y1995" s="295"/>
      <c r="Z1995" s="295"/>
      <c r="AA1995" s="295"/>
      <c r="AB1995" s="295"/>
      <c r="AC1995" s="295"/>
      <c r="AD1995" s="295"/>
      <c r="AE1995" s="295"/>
      <c r="AF1995" s="295"/>
      <c r="AG1995" s="295"/>
      <c r="AH1995" s="295"/>
      <c r="AI1995" s="295"/>
      <c r="AJ1995" s="295"/>
    </row>
    <row r="1996" spans="1:36" s="291" customFormat="1" ht="16.2">
      <c r="A1996" s="304"/>
      <c r="B1996" s="289"/>
      <c r="C1996" s="290"/>
      <c r="E1996" s="453"/>
      <c r="G1996" s="454"/>
      <c r="I1996" s="295"/>
      <c r="J1996" s="295"/>
      <c r="K1996" s="295"/>
      <c r="L1996" s="295"/>
      <c r="M1996" s="302"/>
      <c r="N1996" s="302"/>
      <c r="O1996" s="303"/>
      <c r="P1996" s="295"/>
      <c r="Q1996" s="295"/>
      <c r="R1996" s="295"/>
      <c r="S1996" s="295"/>
      <c r="T1996" s="295"/>
      <c r="U1996" s="295"/>
      <c r="V1996" s="295"/>
      <c r="W1996" s="295"/>
      <c r="X1996" s="295"/>
      <c r="Y1996" s="295"/>
      <c r="Z1996" s="295"/>
      <c r="AA1996" s="295"/>
      <c r="AB1996" s="295"/>
      <c r="AC1996" s="295"/>
      <c r="AD1996" s="295"/>
      <c r="AE1996" s="295"/>
      <c r="AF1996" s="295"/>
      <c r="AG1996" s="295"/>
      <c r="AH1996" s="295"/>
      <c r="AI1996" s="295"/>
      <c r="AJ1996" s="295"/>
    </row>
    <row r="1997" spans="1:36" s="291" customFormat="1" ht="16.2">
      <c r="A1997" s="304"/>
      <c r="B1997" s="289"/>
      <c r="C1997" s="290"/>
      <c r="E1997" s="453"/>
      <c r="G1997" s="454"/>
      <c r="I1997" s="295"/>
      <c r="J1997" s="295"/>
      <c r="K1997" s="295"/>
      <c r="L1997" s="295"/>
      <c r="M1997" s="302"/>
      <c r="N1997" s="302"/>
      <c r="O1997" s="303"/>
      <c r="P1997" s="295"/>
      <c r="Q1997" s="295"/>
      <c r="R1997" s="295"/>
      <c r="S1997" s="295"/>
      <c r="T1997" s="295"/>
      <c r="U1997" s="295"/>
      <c r="V1997" s="295"/>
      <c r="W1997" s="295"/>
      <c r="X1997" s="295"/>
      <c r="Y1997" s="295"/>
      <c r="Z1997" s="295"/>
      <c r="AA1997" s="295"/>
      <c r="AB1997" s="295"/>
      <c r="AC1997" s="295"/>
      <c r="AD1997" s="295"/>
      <c r="AE1997" s="295"/>
      <c r="AF1997" s="295"/>
      <c r="AG1997" s="295"/>
      <c r="AH1997" s="295"/>
      <c r="AI1997" s="295"/>
      <c r="AJ1997" s="295"/>
    </row>
    <row r="1998" spans="1:36" s="291" customFormat="1" ht="16.2">
      <c r="A1998" s="304"/>
      <c r="B1998" s="289"/>
      <c r="C1998" s="290"/>
      <c r="E1998" s="453"/>
      <c r="G1998" s="454"/>
      <c r="I1998" s="295"/>
      <c r="J1998" s="295"/>
      <c r="K1998" s="295"/>
      <c r="L1998" s="295"/>
      <c r="M1998" s="302"/>
      <c r="N1998" s="302"/>
      <c r="O1998" s="303"/>
      <c r="P1998" s="295"/>
      <c r="Q1998" s="295"/>
      <c r="R1998" s="295"/>
      <c r="S1998" s="295"/>
      <c r="T1998" s="295"/>
      <c r="U1998" s="295"/>
      <c r="V1998" s="295"/>
      <c r="W1998" s="295"/>
      <c r="X1998" s="295"/>
      <c r="Y1998" s="295"/>
      <c r="Z1998" s="295"/>
      <c r="AA1998" s="295"/>
      <c r="AB1998" s="295"/>
      <c r="AC1998" s="295"/>
      <c r="AD1998" s="295"/>
      <c r="AE1998" s="295"/>
      <c r="AF1998" s="295"/>
      <c r="AG1998" s="295"/>
      <c r="AH1998" s="295"/>
      <c r="AI1998" s="295"/>
      <c r="AJ1998" s="295"/>
    </row>
    <row r="1999" spans="1:36" s="291" customFormat="1" ht="16.2">
      <c r="A1999" s="304"/>
      <c r="B1999" s="289"/>
      <c r="C1999" s="290"/>
      <c r="E1999" s="453"/>
      <c r="G1999" s="454"/>
      <c r="I1999" s="295"/>
      <c r="J1999" s="295"/>
      <c r="K1999" s="295"/>
      <c r="L1999" s="295"/>
      <c r="M1999" s="302"/>
      <c r="N1999" s="302"/>
      <c r="O1999" s="303"/>
      <c r="P1999" s="295"/>
      <c r="Q1999" s="295"/>
      <c r="R1999" s="295"/>
      <c r="S1999" s="295"/>
      <c r="T1999" s="295"/>
      <c r="U1999" s="295"/>
      <c r="V1999" s="295"/>
      <c r="W1999" s="295"/>
      <c r="X1999" s="295"/>
      <c r="Y1999" s="295"/>
      <c r="Z1999" s="295"/>
      <c r="AA1999" s="295"/>
      <c r="AB1999" s="295"/>
      <c r="AC1999" s="295"/>
      <c r="AD1999" s="295"/>
      <c r="AE1999" s="295"/>
      <c r="AF1999" s="295"/>
      <c r="AG1999" s="295"/>
      <c r="AH1999" s="295"/>
      <c r="AI1999" s="295"/>
      <c r="AJ1999" s="295"/>
    </row>
    <row r="2000" spans="1:36" s="291" customFormat="1" ht="16.2">
      <c r="A2000" s="304"/>
      <c r="B2000" s="289"/>
      <c r="C2000" s="290"/>
      <c r="E2000" s="453"/>
      <c r="G2000" s="454"/>
      <c r="I2000" s="295"/>
      <c r="J2000" s="295"/>
      <c r="K2000" s="295"/>
      <c r="L2000" s="295"/>
      <c r="M2000" s="302"/>
      <c r="N2000" s="302"/>
      <c r="O2000" s="303"/>
      <c r="P2000" s="295"/>
      <c r="Q2000" s="295"/>
      <c r="R2000" s="295"/>
      <c r="S2000" s="295"/>
      <c r="T2000" s="295"/>
      <c r="U2000" s="295"/>
      <c r="V2000" s="295"/>
      <c r="W2000" s="295"/>
      <c r="X2000" s="295"/>
      <c r="Y2000" s="295"/>
      <c r="Z2000" s="295"/>
      <c r="AA2000" s="295"/>
      <c r="AB2000" s="295"/>
      <c r="AC2000" s="295"/>
      <c r="AD2000" s="295"/>
      <c r="AE2000" s="295"/>
      <c r="AF2000" s="295"/>
      <c r="AG2000" s="295"/>
      <c r="AH2000" s="295"/>
      <c r="AI2000" s="295"/>
      <c r="AJ2000" s="295"/>
    </row>
    <row r="2001" spans="1:36" s="291" customFormat="1" ht="16.2">
      <c r="A2001" s="304"/>
      <c r="B2001" s="289"/>
      <c r="C2001" s="290"/>
      <c r="E2001" s="453"/>
      <c r="G2001" s="454"/>
      <c r="I2001" s="295"/>
      <c r="J2001" s="295"/>
      <c r="K2001" s="295"/>
      <c r="L2001" s="295"/>
      <c r="M2001" s="302"/>
      <c r="N2001" s="302"/>
      <c r="O2001" s="303"/>
      <c r="P2001" s="295"/>
      <c r="Q2001" s="295"/>
      <c r="R2001" s="295"/>
      <c r="S2001" s="295"/>
      <c r="T2001" s="295"/>
      <c r="U2001" s="295"/>
      <c r="V2001" s="295"/>
      <c r="W2001" s="295"/>
      <c r="X2001" s="295"/>
      <c r="Y2001" s="295"/>
      <c r="Z2001" s="295"/>
      <c r="AA2001" s="295"/>
      <c r="AB2001" s="295"/>
      <c r="AC2001" s="295"/>
      <c r="AD2001" s="295"/>
      <c r="AE2001" s="295"/>
      <c r="AF2001" s="295"/>
      <c r="AG2001" s="295"/>
      <c r="AH2001" s="295"/>
      <c r="AI2001" s="295"/>
      <c r="AJ2001" s="295"/>
    </row>
    <row r="2002" spans="1:36" s="291" customFormat="1" ht="16.2">
      <c r="A2002" s="304"/>
      <c r="B2002" s="289"/>
      <c r="C2002" s="290"/>
      <c r="E2002" s="453"/>
      <c r="G2002" s="454"/>
      <c r="I2002" s="295"/>
      <c r="J2002" s="295"/>
      <c r="K2002" s="295"/>
      <c r="L2002" s="295"/>
      <c r="M2002" s="302"/>
      <c r="N2002" s="302"/>
      <c r="O2002" s="303"/>
      <c r="P2002" s="295"/>
      <c r="Q2002" s="295"/>
      <c r="R2002" s="295"/>
      <c r="S2002" s="295"/>
      <c r="T2002" s="295"/>
      <c r="U2002" s="295"/>
      <c r="V2002" s="295"/>
      <c r="W2002" s="295"/>
      <c r="X2002" s="295"/>
      <c r="Y2002" s="295"/>
      <c r="Z2002" s="295"/>
      <c r="AA2002" s="295"/>
      <c r="AB2002" s="295"/>
      <c r="AC2002" s="295"/>
      <c r="AD2002" s="295"/>
      <c r="AE2002" s="295"/>
      <c r="AF2002" s="295"/>
      <c r="AG2002" s="295"/>
      <c r="AH2002" s="295"/>
      <c r="AI2002" s="295"/>
      <c r="AJ2002" s="295"/>
    </row>
    <row r="2003" spans="1:36" s="291" customFormat="1" ht="16.2">
      <c r="A2003" s="304"/>
      <c r="B2003" s="289"/>
      <c r="C2003" s="290"/>
      <c r="E2003" s="453"/>
      <c r="G2003" s="454"/>
      <c r="I2003" s="295"/>
      <c r="J2003" s="295"/>
      <c r="K2003" s="295"/>
      <c r="L2003" s="295"/>
      <c r="M2003" s="302"/>
      <c r="N2003" s="302"/>
      <c r="O2003" s="303"/>
      <c r="P2003" s="295"/>
      <c r="Q2003" s="295"/>
      <c r="R2003" s="295"/>
      <c r="S2003" s="295"/>
      <c r="T2003" s="295"/>
      <c r="U2003" s="295"/>
      <c r="V2003" s="295"/>
      <c r="W2003" s="295"/>
      <c r="X2003" s="295"/>
      <c r="Y2003" s="295"/>
      <c r="Z2003" s="295"/>
      <c r="AA2003" s="295"/>
      <c r="AB2003" s="295"/>
      <c r="AC2003" s="295"/>
      <c r="AD2003" s="295"/>
      <c r="AE2003" s="295"/>
      <c r="AF2003" s="295"/>
      <c r="AG2003" s="295"/>
      <c r="AH2003" s="295"/>
      <c r="AI2003" s="295"/>
      <c r="AJ2003" s="295"/>
    </row>
    <row r="2004" spans="1:36" s="291" customFormat="1" ht="16.2">
      <c r="A2004" s="304"/>
      <c r="B2004" s="289"/>
      <c r="C2004" s="290"/>
      <c r="E2004" s="453"/>
      <c r="G2004" s="454"/>
      <c r="I2004" s="295"/>
      <c r="J2004" s="295"/>
      <c r="K2004" s="295"/>
      <c r="L2004" s="295"/>
      <c r="M2004" s="302"/>
      <c r="N2004" s="302"/>
      <c r="O2004" s="303"/>
      <c r="P2004" s="295"/>
      <c r="Q2004" s="295"/>
      <c r="R2004" s="295"/>
      <c r="S2004" s="295"/>
      <c r="T2004" s="295"/>
      <c r="U2004" s="295"/>
      <c r="V2004" s="295"/>
      <c r="W2004" s="295"/>
      <c r="X2004" s="295"/>
      <c r="Y2004" s="295"/>
      <c r="Z2004" s="295"/>
      <c r="AA2004" s="295"/>
      <c r="AB2004" s="295"/>
      <c r="AC2004" s="295"/>
      <c r="AD2004" s="295"/>
      <c r="AE2004" s="295"/>
      <c r="AF2004" s="295"/>
      <c r="AG2004" s="295"/>
      <c r="AH2004" s="295"/>
      <c r="AI2004" s="295"/>
      <c r="AJ2004" s="295"/>
    </row>
    <row r="2005" spans="1:36" s="291" customFormat="1" ht="16.2">
      <c r="A2005" s="304"/>
      <c r="B2005" s="289"/>
      <c r="C2005" s="290"/>
      <c r="E2005" s="453"/>
      <c r="G2005" s="454"/>
      <c r="I2005" s="295"/>
      <c r="J2005" s="295"/>
      <c r="K2005" s="295"/>
      <c r="L2005" s="295"/>
      <c r="M2005" s="302"/>
      <c r="N2005" s="302"/>
      <c r="O2005" s="303"/>
      <c r="P2005" s="295"/>
      <c r="Q2005" s="295"/>
      <c r="R2005" s="295"/>
      <c r="S2005" s="295"/>
      <c r="T2005" s="295"/>
      <c r="U2005" s="295"/>
      <c r="V2005" s="295"/>
      <c r="W2005" s="295"/>
      <c r="X2005" s="295"/>
      <c r="Y2005" s="295"/>
      <c r="Z2005" s="295"/>
      <c r="AA2005" s="295"/>
      <c r="AB2005" s="295"/>
      <c r="AC2005" s="295"/>
      <c r="AD2005" s="295"/>
      <c r="AE2005" s="295"/>
      <c r="AF2005" s="295"/>
      <c r="AG2005" s="295"/>
      <c r="AH2005" s="295"/>
      <c r="AI2005" s="295"/>
      <c r="AJ2005" s="295"/>
    </row>
    <row r="2006" spans="1:36" s="291" customFormat="1" ht="16.2">
      <c r="A2006" s="304"/>
      <c r="B2006" s="289"/>
      <c r="C2006" s="290"/>
      <c r="E2006" s="453"/>
      <c r="G2006" s="454"/>
      <c r="I2006" s="295"/>
      <c r="J2006" s="295"/>
      <c r="K2006" s="295"/>
      <c r="L2006" s="295"/>
      <c r="M2006" s="302"/>
      <c r="N2006" s="302"/>
      <c r="O2006" s="303"/>
      <c r="P2006" s="295"/>
      <c r="Q2006" s="295"/>
      <c r="R2006" s="295"/>
      <c r="S2006" s="295"/>
      <c r="T2006" s="295"/>
      <c r="U2006" s="295"/>
      <c r="V2006" s="295"/>
      <c r="W2006" s="295"/>
      <c r="X2006" s="295"/>
      <c r="Y2006" s="295"/>
      <c r="Z2006" s="295"/>
      <c r="AA2006" s="295"/>
      <c r="AB2006" s="295"/>
      <c r="AC2006" s="295"/>
      <c r="AD2006" s="295"/>
      <c r="AE2006" s="295"/>
      <c r="AF2006" s="295"/>
      <c r="AG2006" s="295"/>
      <c r="AH2006" s="295"/>
      <c r="AI2006" s="295"/>
      <c r="AJ2006" s="295"/>
    </row>
    <row r="2007" spans="1:36" s="291" customFormat="1" ht="16.2">
      <c r="A2007" s="304"/>
      <c r="B2007" s="289"/>
      <c r="C2007" s="290"/>
      <c r="E2007" s="453"/>
      <c r="G2007" s="454"/>
      <c r="I2007" s="295"/>
      <c r="J2007" s="295"/>
      <c r="K2007" s="295"/>
      <c r="L2007" s="295"/>
      <c r="M2007" s="302"/>
      <c r="N2007" s="302"/>
      <c r="O2007" s="303"/>
      <c r="P2007" s="295"/>
      <c r="Q2007" s="295"/>
      <c r="R2007" s="295"/>
      <c r="S2007" s="295"/>
      <c r="T2007" s="295"/>
      <c r="U2007" s="295"/>
      <c r="V2007" s="295"/>
      <c r="W2007" s="295"/>
      <c r="X2007" s="295"/>
      <c r="Y2007" s="295"/>
      <c r="Z2007" s="295"/>
      <c r="AA2007" s="295"/>
      <c r="AB2007" s="295"/>
      <c r="AC2007" s="295"/>
      <c r="AD2007" s="295"/>
      <c r="AE2007" s="295"/>
      <c r="AF2007" s="295"/>
      <c r="AG2007" s="295"/>
      <c r="AH2007" s="295"/>
      <c r="AI2007" s="295"/>
      <c r="AJ2007" s="295"/>
    </row>
    <row r="2008" spans="1:36" s="291" customFormat="1" ht="16.2">
      <c r="A2008" s="304"/>
      <c r="B2008" s="289"/>
      <c r="C2008" s="290"/>
      <c r="E2008" s="453"/>
      <c r="G2008" s="454"/>
      <c r="I2008" s="295"/>
      <c r="J2008" s="295"/>
      <c r="K2008" s="295"/>
      <c r="L2008" s="295"/>
      <c r="M2008" s="302"/>
      <c r="N2008" s="302"/>
      <c r="O2008" s="303"/>
      <c r="P2008" s="295"/>
      <c r="Q2008" s="295"/>
      <c r="R2008" s="295"/>
      <c r="S2008" s="295"/>
      <c r="T2008" s="295"/>
      <c r="U2008" s="295"/>
      <c r="V2008" s="295"/>
      <c r="W2008" s="295"/>
      <c r="X2008" s="295"/>
      <c r="Y2008" s="295"/>
      <c r="Z2008" s="295"/>
      <c r="AA2008" s="295"/>
      <c r="AB2008" s="295"/>
      <c r="AC2008" s="295"/>
      <c r="AD2008" s="295"/>
      <c r="AE2008" s="295"/>
      <c r="AF2008" s="295"/>
      <c r="AG2008" s="295"/>
      <c r="AH2008" s="295"/>
      <c r="AI2008" s="295"/>
      <c r="AJ2008" s="295"/>
    </row>
    <row r="2009" spans="1:36" s="291" customFormat="1" ht="16.2">
      <c r="A2009" s="304"/>
      <c r="B2009" s="289"/>
      <c r="C2009" s="290"/>
      <c r="E2009" s="453"/>
      <c r="G2009" s="454"/>
      <c r="I2009" s="295"/>
      <c r="J2009" s="295"/>
      <c r="K2009" s="295"/>
      <c r="L2009" s="295"/>
      <c r="M2009" s="302"/>
      <c r="N2009" s="302"/>
      <c r="O2009" s="303"/>
      <c r="P2009" s="295"/>
      <c r="Q2009" s="295"/>
      <c r="R2009" s="295"/>
      <c r="S2009" s="295"/>
      <c r="T2009" s="295"/>
      <c r="U2009" s="295"/>
      <c r="V2009" s="295"/>
      <c r="W2009" s="295"/>
      <c r="X2009" s="295"/>
      <c r="Y2009" s="295"/>
      <c r="Z2009" s="295"/>
      <c r="AA2009" s="295"/>
      <c r="AB2009" s="295"/>
      <c r="AC2009" s="295"/>
      <c r="AD2009" s="295"/>
      <c r="AE2009" s="295"/>
      <c r="AF2009" s="295"/>
      <c r="AG2009" s="295"/>
      <c r="AH2009" s="295"/>
      <c r="AI2009" s="295"/>
      <c r="AJ2009" s="295"/>
    </row>
    <row r="2010" spans="1:36" s="291" customFormat="1" ht="16.2">
      <c r="A2010" s="304"/>
      <c r="B2010" s="289"/>
      <c r="C2010" s="290"/>
      <c r="E2010" s="453"/>
      <c r="G2010" s="454"/>
      <c r="I2010" s="295"/>
      <c r="J2010" s="295"/>
      <c r="K2010" s="295"/>
      <c r="L2010" s="295"/>
      <c r="M2010" s="302"/>
      <c r="N2010" s="302"/>
      <c r="O2010" s="303"/>
      <c r="P2010" s="295"/>
      <c r="Q2010" s="295"/>
      <c r="R2010" s="295"/>
      <c r="S2010" s="295"/>
      <c r="T2010" s="295"/>
      <c r="U2010" s="295"/>
      <c r="V2010" s="295"/>
      <c r="W2010" s="295"/>
      <c r="X2010" s="295"/>
      <c r="Y2010" s="295"/>
      <c r="Z2010" s="295"/>
      <c r="AA2010" s="295"/>
      <c r="AB2010" s="295"/>
      <c r="AC2010" s="295"/>
      <c r="AD2010" s="295"/>
      <c r="AE2010" s="295"/>
      <c r="AF2010" s="295"/>
      <c r="AG2010" s="295"/>
      <c r="AH2010" s="295"/>
      <c r="AI2010" s="295"/>
      <c r="AJ2010" s="295"/>
    </row>
    <row r="2011" spans="1:36" s="291" customFormat="1" ht="16.2">
      <c r="A2011" s="304"/>
      <c r="B2011" s="289"/>
      <c r="C2011" s="290"/>
      <c r="E2011" s="453"/>
      <c r="G2011" s="454"/>
      <c r="I2011" s="295"/>
      <c r="J2011" s="295"/>
      <c r="K2011" s="295"/>
      <c r="L2011" s="295"/>
      <c r="M2011" s="302"/>
      <c r="N2011" s="302"/>
      <c r="O2011" s="303"/>
      <c r="P2011" s="295"/>
      <c r="Q2011" s="295"/>
      <c r="R2011" s="295"/>
      <c r="S2011" s="295"/>
      <c r="T2011" s="295"/>
      <c r="U2011" s="295"/>
      <c r="V2011" s="295"/>
      <c r="W2011" s="295"/>
      <c r="X2011" s="295"/>
      <c r="Y2011" s="295"/>
      <c r="Z2011" s="295"/>
      <c r="AA2011" s="295"/>
      <c r="AB2011" s="295"/>
      <c r="AC2011" s="295"/>
      <c r="AD2011" s="295"/>
      <c r="AE2011" s="295"/>
      <c r="AF2011" s="295"/>
      <c r="AG2011" s="295"/>
      <c r="AH2011" s="295"/>
      <c r="AI2011" s="295"/>
      <c r="AJ2011" s="295"/>
    </row>
    <row r="2012" spans="1:36" s="291" customFormat="1" ht="16.2">
      <c r="A2012" s="304"/>
      <c r="B2012" s="289"/>
      <c r="C2012" s="290"/>
      <c r="E2012" s="453"/>
      <c r="G2012" s="454"/>
      <c r="I2012" s="295"/>
      <c r="J2012" s="295"/>
      <c r="K2012" s="295"/>
      <c r="L2012" s="295"/>
      <c r="M2012" s="302"/>
      <c r="N2012" s="302"/>
      <c r="O2012" s="303"/>
      <c r="P2012" s="295"/>
      <c r="Q2012" s="295"/>
      <c r="R2012" s="295"/>
      <c r="S2012" s="295"/>
      <c r="T2012" s="295"/>
      <c r="U2012" s="295"/>
      <c r="V2012" s="295"/>
      <c r="W2012" s="295"/>
      <c r="X2012" s="295"/>
      <c r="Y2012" s="295"/>
      <c r="Z2012" s="295"/>
      <c r="AA2012" s="295"/>
      <c r="AB2012" s="295"/>
      <c r="AC2012" s="295"/>
      <c r="AD2012" s="295"/>
      <c r="AE2012" s="295"/>
      <c r="AF2012" s="295"/>
      <c r="AG2012" s="295"/>
      <c r="AH2012" s="295"/>
      <c r="AI2012" s="295"/>
      <c r="AJ2012" s="295"/>
    </row>
    <row r="2013" spans="1:36" s="291" customFormat="1" ht="16.2">
      <c r="A2013" s="304"/>
      <c r="B2013" s="289"/>
      <c r="C2013" s="290"/>
      <c r="E2013" s="453"/>
      <c r="G2013" s="454"/>
      <c r="I2013" s="295"/>
      <c r="J2013" s="295"/>
      <c r="K2013" s="295"/>
      <c r="L2013" s="295"/>
      <c r="M2013" s="302"/>
      <c r="N2013" s="302"/>
      <c r="O2013" s="303"/>
      <c r="P2013" s="295"/>
      <c r="Q2013" s="295"/>
      <c r="R2013" s="295"/>
      <c r="S2013" s="295"/>
      <c r="T2013" s="295"/>
      <c r="U2013" s="295"/>
      <c r="V2013" s="295"/>
      <c r="W2013" s="295"/>
      <c r="X2013" s="295"/>
      <c r="Y2013" s="295"/>
      <c r="Z2013" s="295"/>
      <c r="AA2013" s="295"/>
      <c r="AB2013" s="295"/>
      <c r="AC2013" s="295"/>
      <c r="AD2013" s="295"/>
      <c r="AE2013" s="295"/>
      <c r="AF2013" s="295"/>
      <c r="AG2013" s="295"/>
      <c r="AH2013" s="295"/>
      <c r="AI2013" s="295"/>
      <c r="AJ2013" s="295"/>
    </row>
    <row r="2014" spans="1:36" s="291" customFormat="1" ht="16.2">
      <c r="A2014" s="304"/>
      <c r="B2014" s="289"/>
      <c r="C2014" s="290"/>
      <c r="E2014" s="453"/>
      <c r="G2014" s="454"/>
      <c r="I2014" s="295"/>
      <c r="J2014" s="295"/>
      <c r="K2014" s="295"/>
      <c r="L2014" s="295"/>
      <c r="M2014" s="302"/>
      <c r="N2014" s="302"/>
      <c r="O2014" s="303"/>
      <c r="P2014" s="295"/>
      <c r="Q2014" s="295"/>
      <c r="R2014" s="295"/>
      <c r="S2014" s="295"/>
      <c r="T2014" s="295"/>
      <c r="U2014" s="295"/>
      <c r="V2014" s="295"/>
      <c r="W2014" s="295"/>
      <c r="X2014" s="295"/>
      <c r="Y2014" s="295"/>
      <c r="Z2014" s="295"/>
      <c r="AA2014" s="295"/>
      <c r="AB2014" s="295"/>
      <c r="AC2014" s="295"/>
      <c r="AD2014" s="295"/>
      <c r="AE2014" s="295"/>
      <c r="AF2014" s="295"/>
      <c r="AG2014" s="295"/>
      <c r="AH2014" s="295"/>
      <c r="AI2014" s="295"/>
      <c r="AJ2014" s="295"/>
    </row>
    <row r="2015" spans="1:36" s="291" customFormat="1" ht="16.2">
      <c r="A2015" s="304"/>
      <c r="B2015" s="289"/>
      <c r="C2015" s="290"/>
      <c r="E2015" s="453"/>
      <c r="G2015" s="454"/>
      <c r="I2015" s="295"/>
      <c r="J2015" s="295"/>
      <c r="K2015" s="295"/>
      <c r="L2015" s="295"/>
      <c r="M2015" s="302"/>
      <c r="N2015" s="302"/>
      <c r="O2015" s="303"/>
      <c r="P2015" s="295"/>
      <c r="Q2015" s="295"/>
      <c r="R2015" s="295"/>
      <c r="S2015" s="295"/>
      <c r="T2015" s="295"/>
      <c r="U2015" s="295"/>
      <c r="V2015" s="295"/>
      <c r="W2015" s="295"/>
      <c r="X2015" s="295"/>
      <c r="Y2015" s="295"/>
      <c r="Z2015" s="295"/>
      <c r="AA2015" s="295"/>
      <c r="AB2015" s="295"/>
      <c r="AC2015" s="295"/>
      <c r="AD2015" s="295"/>
      <c r="AE2015" s="295"/>
      <c r="AF2015" s="295"/>
      <c r="AG2015" s="295"/>
      <c r="AH2015" s="295"/>
      <c r="AI2015" s="295"/>
      <c r="AJ2015" s="295"/>
    </row>
    <row r="2016" spans="1:36" s="291" customFormat="1" ht="16.2">
      <c r="A2016" s="304"/>
      <c r="B2016" s="289"/>
      <c r="C2016" s="290"/>
      <c r="E2016" s="453"/>
      <c r="G2016" s="454"/>
      <c r="I2016" s="295"/>
      <c r="J2016" s="295"/>
      <c r="K2016" s="295"/>
      <c r="L2016" s="295"/>
      <c r="M2016" s="302"/>
      <c r="N2016" s="302"/>
      <c r="O2016" s="303"/>
      <c r="P2016" s="295"/>
      <c r="Q2016" s="295"/>
      <c r="R2016" s="295"/>
      <c r="S2016" s="295"/>
      <c r="T2016" s="295"/>
      <c r="U2016" s="295"/>
      <c r="V2016" s="295"/>
      <c r="W2016" s="295"/>
      <c r="X2016" s="295"/>
      <c r="Y2016" s="295"/>
      <c r="Z2016" s="295"/>
      <c r="AA2016" s="295"/>
      <c r="AB2016" s="295"/>
      <c r="AC2016" s="295"/>
      <c r="AD2016" s="295"/>
      <c r="AE2016" s="295"/>
      <c r="AF2016" s="295"/>
      <c r="AG2016" s="295"/>
      <c r="AH2016" s="295"/>
      <c r="AI2016" s="295"/>
      <c r="AJ2016" s="295"/>
    </row>
    <row r="2017" spans="1:36" s="291" customFormat="1" ht="16.2">
      <c r="A2017" s="304"/>
      <c r="B2017" s="289"/>
      <c r="C2017" s="290"/>
      <c r="E2017" s="453"/>
      <c r="G2017" s="454"/>
      <c r="I2017" s="295"/>
      <c r="J2017" s="295"/>
      <c r="K2017" s="295"/>
      <c r="L2017" s="295"/>
      <c r="M2017" s="302"/>
      <c r="N2017" s="302"/>
      <c r="O2017" s="303"/>
      <c r="P2017" s="295"/>
      <c r="Q2017" s="295"/>
      <c r="R2017" s="295"/>
      <c r="S2017" s="295"/>
      <c r="T2017" s="295"/>
      <c r="U2017" s="295"/>
      <c r="V2017" s="295"/>
      <c r="W2017" s="295"/>
      <c r="X2017" s="295"/>
      <c r="Y2017" s="295"/>
      <c r="Z2017" s="295"/>
      <c r="AA2017" s="295"/>
      <c r="AB2017" s="295"/>
      <c r="AC2017" s="295"/>
      <c r="AD2017" s="295"/>
      <c r="AE2017" s="295"/>
      <c r="AF2017" s="295"/>
      <c r="AG2017" s="295"/>
      <c r="AH2017" s="295"/>
      <c r="AI2017" s="295"/>
      <c r="AJ2017" s="295"/>
    </row>
    <row r="2018" spans="1:36" s="291" customFormat="1" ht="16.2">
      <c r="A2018" s="304"/>
      <c r="B2018" s="289"/>
      <c r="C2018" s="290"/>
      <c r="E2018" s="453"/>
      <c r="G2018" s="454"/>
      <c r="I2018" s="295"/>
      <c r="J2018" s="295"/>
      <c r="K2018" s="295"/>
      <c r="L2018" s="295"/>
      <c r="M2018" s="302"/>
      <c r="N2018" s="302"/>
      <c r="O2018" s="303"/>
      <c r="P2018" s="295"/>
      <c r="Q2018" s="295"/>
      <c r="R2018" s="295"/>
      <c r="S2018" s="295"/>
      <c r="T2018" s="295"/>
      <c r="U2018" s="295"/>
      <c r="V2018" s="295"/>
      <c r="W2018" s="295"/>
      <c r="X2018" s="295"/>
      <c r="Y2018" s="295"/>
      <c r="Z2018" s="295"/>
      <c r="AA2018" s="295"/>
      <c r="AB2018" s="295"/>
      <c r="AC2018" s="295"/>
      <c r="AD2018" s="295"/>
      <c r="AE2018" s="295"/>
      <c r="AF2018" s="295"/>
      <c r="AG2018" s="295"/>
      <c r="AH2018" s="295"/>
      <c r="AI2018" s="295"/>
      <c r="AJ2018" s="295"/>
    </row>
    <row r="2019" spans="1:36" s="291" customFormat="1" ht="16.2">
      <c r="A2019" s="304"/>
      <c r="B2019" s="289"/>
      <c r="C2019" s="290"/>
      <c r="E2019" s="453"/>
      <c r="G2019" s="454"/>
      <c r="I2019" s="295"/>
      <c r="J2019" s="295"/>
      <c r="K2019" s="295"/>
      <c r="L2019" s="295"/>
      <c r="M2019" s="302"/>
      <c r="N2019" s="302"/>
      <c r="O2019" s="303"/>
      <c r="P2019" s="295"/>
      <c r="Q2019" s="295"/>
      <c r="R2019" s="295"/>
      <c r="S2019" s="295"/>
      <c r="T2019" s="295"/>
      <c r="U2019" s="295"/>
      <c r="V2019" s="295"/>
      <c r="W2019" s="295"/>
      <c r="X2019" s="295"/>
      <c r="Y2019" s="295"/>
      <c r="Z2019" s="295"/>
      <c r="AA2019" s="295"/>
      <c r="AB2019" s="295"/>
      <c r="AC2019" s="295"/>
      <c r="AD2019" s="295"/>
      <c r="AE2019" s="295"/>
      <c r="AF2019" s="295"/>
      <c r="AG2019" s="295"/>
      <c r="AH2019" s="295"/>
      <c r="AI2019" s="295"/>
      <c r="AJ2019" s="295"/>
    </row>
    <row r="2020" spans="1:36" s="291" customFormat="1" ht="16.2">
      <c r="A2020" s="304"/>
      <c r="B2020" s="289"/>
      <c r="C2020" s="290"/>
      <c r="E2020" s="453"/>
      <c r="G2020" s="454"/>
      <c r="I2020" s="295"/>
      <c r="J2020" s="295"/>
      <c r="K2020" s="295"/>
      <c r="L2020" s="295"/>
      <c r="M2020" s="302"/>
      <c r="N2020" s="302"/>
      <c r="O2020" s="303"/>
      <c r="P2020" s="295"/>
      <c r="Q2020" s="295"/>
      <c r="R2020" s="295"/>
      <c r="S2020" s="295"/>
      <c r="T2020" s="295"/>
      <c r="U2020" s="295"/>
      <c r="V2020" s="295"/>
      <c r="W2020" s="295"/>
      <c r="X2020" s="295"/>
      <c r="Y2020" s="295"/>
      <c r="Z2020" s="295"/>
      <c r="AA2020" s="295"/>
      <c r="AB2020" s="295"/>
      <c r="AC2020" s="295"/>
      <c r="AD2020" s="295"/>
      <c r="AE2020" s="295"/>
      <c r="AF2020" s="295"/>
      <c r="AG2020" s="295"/>
      <c r="AH2020" s="295"/>
      <c r="AI2020" s="295"/>
      <c r="AJ2020" s="295"/>
    </row>
    <row r="2021" spans="1:36" s="291" customFormat="1" ht="16.2">
      <c r="A2021" s="304"/>
      <c r="B2021" s="289"/>
      <c r="C2021" s="290"/>
      <c r="E2021" s="453"/>
      <c r="G2021" s="454"/>
      <c r="I2021" s="295"/>
      <c r="J2021" s="295"/>
      <c r="K2021" s="295"/>
      <c r="L2021" s="295"/>
      <c r="M2021" s="302"/>
      <c r="N2021" s="302"/>
      <c r="O2021" s="303"/>
      <c r="P2021" s="295"/>
      <c r="Q2021" s="295"/>
      <c r="R2021" s="295"/>
      <c r="S2021" s="295"/>
      <c r="T2021" s="295"/>
      <c r="U2021" s="295"/>
      <c r="V2021" s="295"/>
      <c r="W2021" s="295"/>
      <c r="X2021" s="295"/>
      <c r="Y2021" s="295"/>
      <c r="Z2021" s="295"/>
      <c r="AA2021" s="295"/>
      <c r="AB2021" s="295"/>
      <c r="AC2021" s="295"/>
      <c r="AD2021" s="295"/>
      <c r="AE2021" s="295"/>
      <c r="AF2021" s="295"/>
      <c r="AG2021" s="295"/>
      <c r="AH2021" s="295"/>
      <c r="AI2021" s="295"/>
      <c r="AJ2021" s="295"/>
    </row>
    <row r="2022" spans="1:36" s="291" customFormat="1" ht="16.2">
      <c r="A2022" s="304"/>
      <c r="B2022" s="289"/>
      <c r="C2022" s="290"/>
      <c r="E2022" s="453"/>
      <c r="G2022" s="454"/>
      <c r="I2022" s="295"/>
      <c r="J2022" s="295"/>
      <c r="K2022" s="295"/>
      <c r="L2022" s="295"/>
      <c r="M2022" s="302"/>
      <c r="N2022" s="302"/>
      <c r="O2022" s="303"/>
      <c r="P2022" s="295"/>
      <c r="Q2022" s="295"/>
      <c r="R2022" s="295"/>
      <c r="S2022" s="295"/>
      <c r="T2022" s="295"/>
      <c r="U2022" s="295"/>
      <c r="V2022" s="295"/>
      <c r="W2022" s="295"/>
      <c r="X2022" s="295"/>
      <c r="Y2022" s="295"/>
      <c r="Z2022" s="295"/>
      <c r="AA2022" s="295"/>
      <c r="AB2022" s="295"/>
      <c r="AC2022" s="295"/>
      <c r="AD2022" s="295"/>
      <c r="AE2022" s="295"/>
      <c r="AF2022" s="295"/>
      <c r="AG2022" s="295"/>
      <c r="AH2022" s="295"/>
      <c r="AI2022" s="295"/>
      <c r="AJ2022" s="295"/>
    </row>
    <row r="2023" spans="1:36" s="291" customFormat="1" ht="16.2">
      <c r="A2023" s="304"/>
      <c r="B2023" s="289"/>
      <c r="C2023" s="290"/>
      <c r="E2023" s="453"/>
      <c r="G2023" s="454"/>
      <c r="I2023" s="295"/>
      <c r="J2023" s="295"/>
      <c r="K2023" s="295"/>
      <c r="L2023" s="295"/>
      <c r="M2023" s="302"/>
      <c r="N2023" s="302"/>
      <c r="O2023" s="303"/>
      <c r="P2023" s="295"/>
      <c r="Q2023" s="295"/>
      <c r="R2023" s="295"/>
      <c r="S2023" s="295"/>
      <c r="T2023" s="295"/>
      <c r="U2023" s="295"/>
      <c r="V2023" s="295"/>
      <c r="W2023" s="295"/>
      <c r="X2023" s="295"/>
      <c r="Y2023" s="295"/>
      <c r="Z2023" s="295"/>
      <c r="AA2023" s="295"/>
      <c r="AB2023" s="295"/>
      <c r="AC2023" s="295"/>
      <c r="AD2023" s="295"/>
      <c r="AE2023" s="295"/>
      <c r="AF2023" s="295"/>
      <c r="AG2023" s="295"/>
      <c r="AH2023" s="295"/>
      <c r="AI2023" s="295"/>
      <c r="AJ2023" s="295"/>
    </row>
    <row r="2024" spans="1:36" s="291" customFormat="1" ht="16.2">
      <c r="A2024" s="304"/>
      <c r="B2024" s="289"/>
      <c r="C2024" s="290"/>
      <c r="E2024" s="453"/>
      <c r="G2024" s="454"/>
      <c r="I2024" s="295"/>
      <c r="J2024" s="295"/>
      <c r="K2024" s="295"/>
      <c r="L2024" s="295"/>
      <c r="M2024" s="302"/>
      <c r="N2024" s="302"/>
      <c r="O2024" s="303"/>
      <c r="P2024" s="295"/>
      <c r="Q2024" s="295"/>
      <c r="R2024" s="295"/>
      <c r="S2024" s="295"/>
      <c r="T2024" s="295"/>
      <c r="U2024" s="295"/>
      <c r="V2024" s="295"/>
      <c r="W2024" s="295"/>
      <c r="X2024" s="295"/>
      <c r="Y2024" s="295"/>
      <c r="Z2024" s="295"/>
      <c r="AA2024" s="295"/>
      <c r="AB2024" s="295"/>
      <c r="AC2024" s="295"/>
      <c r="AD2024" s="295"/>
      <c r="AE2024" s="295"/>
      <c r="AF2024" s="295"/>
      <c r="AG2024" s="295"/>
      <c r="AH2024" s="295"/>
      <c r="AI2024" s="295"/>
      <c r="AJ2024" s="295"/>
    </row>
    <row r="2025" spans="1:36" s="291" customFormat="1" ht="16.2">
      <c r="A2025" s="304"/>
      <c r="B2025" s="289"/>
      <c r="C2025" s="290"/>
      <c r="E2025" s="453"/>
      <c r="G2025" s="454"/>
      <c r="I2025" s="295"/>
      <c r="J2025" s="295"/>
      <c r="K2025" s="295"/>
      <c r="L2025" s="295"/>
      <c r="M2025" s="302"/>
      <c r="N2025" s="302"/>
      <c r="O2025" s="303"/>
      <c r="P2025" s="295"/>
      <c r="Q2025" s="295"/>
      <c r="R2025" s="295"/>
      <c r="S2025" s="295"/>
      <c r="T2025" s="295"/>
      <c r="U2025" s="295"/>
      <c r="V2025" s="295"/>
      <c r="W2025" s="295"/>
      <c r="X2025" s="295"/>
      <c r="Y2025" s="295"/>
      <c r="Z2025" s="295"/>
      <c r="AA2025" s="295"/>
      <c r="AB2025" s="295"/>
      <c r="AC2025" s="295"/>
      <c r="AD2025" s="295"/>
      <c r="AE2025" s="295"/>
      <c r="AF2025" s="295"/>
      <c r="AG2025" s="295"/>
      <c r="AH2025" s="295"/>
      <c r="AI2025" s="295"/>
      <c r="AJ2025" s="295"/>
    </row>
    <row r="2026" spans="1:36" s="291" customFormat="1" ht="16.2">
      <c r="A2026" s="304"/>
      <c r="B2026" s="289"/>
      <c r="C2026" s="290"/>
      <c r="E2026" s="453"/>
      <c r="G2026" s="454"/>
      <c r="I2026" s="295"/>
      <c r="J2026" s="295"/>
      <c r="K2026" s="295"/>
      <c r="L2026" s="295"/>
      <c r="M2026" s="302"/>
      <c r="N2026" s="302"/>
      <c r="O2026" s="303"/>
      <c r="P2026" s="295"/>
      <c r="Q2026" s="295"/>
      <c r="R2026" s="295"/>
      <c r="S2026" s="295"/>
      <c r="T2026" s="295"/>
      <c r="U2026" s="295"/>
      <c r="V2026" s="295"/>
      <c r="W2026" s="295"/>
      <c r="X2026" s="295"/>
      <c r="Y2026" s="295"/>
      <c r="Z2026" s="295"/>
      <c r="AA2026" s="295"/>
      <c r="AB2026" s="295"/>
      <c r="AC2026" s="295"/>
      <c r="AD2026" s="295"/>
      <c r="AE2026" s="295"/>
      <c r="AF2026" s="295"/>
      <c r="AG2026" s="295"/>
      <c r="AH2026" s="295"/>
      <c r="AI2026" s="295"/>
      <c r="AJ2026" s="295"/>
    </row>
    <row r="2027" spans="1:36" s="291" customFormat="1" ht="16.2">
      <c r="A2027" s="304"/>
      <c r="B2027" s="289"/>
      <c r="C2027" s="290"/>
      <c r="E2027" s="453"/>
      <c r="G2027" s="454"/>
      <c r="I2027" s="295"/>
      <c r="J2027" s="295"/>
      <c r="K2027" s="295"/>
      <c r="L2027" s="295"/>
      <c r="M2027" s="302"/>
      <c r="N2027" s="302"/>
      <c r="O2027" s="303"/>
      <c r="P2027" s="295"/>
      <c r="Q2027" s="295"/>
      <c r="R2027" s="295"/>
      <c r="S2027" s="295"/>
      <c r="T2027" s="295"/>
      <c r="U2027" s="295"/>
      <c r="V2027" s="295"/>
      <c r="W2027" s="295"/>
      <c r="X2027" s="295"/>
      <c r="Y2027" s="295"/>
      <c r="Z2027" s="295"/>
      <c r="AA2027" s="295"/>
      <c r="AB2027" s="295"/>
      <c r="AC2027" s="295"/>
      <c r="AD2027" s="295"/>
      <c r="AE2027" s="295"/>
      <c r="AF2027" s="295"/>
      <c r="AG2027" s="295"/>
      <c r="AH2027" s="295"/>
      <c r="AI2027" s="295"/>
      <c r="AJ2027" s="295"/>
    </row>
    <row r="2028" spans="1:36" s="291" customFormat="1" ht="16.2">
      <c r="A2028" s="304"/>
      <c r="B2028" s="289"/>
      <c r="C2028" s="290"/>
      <c r="E2028" s="453"/>
      <c r="G2028" s="454"/>
      <c r="I2028" s="295"/>
      <c r="J2028" s="295"/>
      <c r="K2028" s="295"/>
      <c r="L2028" s="295"/>
      <c r="M2028" s="302"/>
      <c r="N2028" s="302"/>
      <c r="O2028" s="303"/>
      <c r="P2028" s="295"/>
      <c r="Q2028" s="295"/>
      <c r="R2028" s="295"/>
      <c r="S2028" s="295"/>
      <c r="T2028" s="295"/>
      <c r="U2028" s="295"/>
      <c r="V2028" s="295"/>
      <c r="W2028" s="295"/>
      <c r="X2028" s="295"/>
      <c r="Y2028" s="295"/>
      <c r="Z2028" s="295"/>
      <c r="AA2028" s="295"/>
      <c r="AB2028" s="295"/>
      <c r="AC2028" s="295"/>
      <c r="AD2028" s="295"/>
      <c r="AE2028" s="295"/>
      <c r="AF2028" s="295"/>
      <c r="AG2028" s="295"/>
      <c r="AH2028" s="295"/>
      <c r="AI2028" s="295"/>
      <c r="AJ2028" s="295"/>
    </row>
    <row r="2029" spans="1:36" s="291" customFormat="1" ht="16.2">
      <c r="A2029" s="304"/>
      <c r="B2029" s="289"/>
      <c r="C2029" s="290"/>
      <c r="E2029" s="453"/>
      <c r="G2029" s="454"/>
      <c r="I2029" s="295"/>
      <c r="J2029" s="295"/>
      <c r="K2029" s="295"/>
      <c r="L2029" s="295"/>
      <c r="M2029" s="302"/>
      <c r="N2029" s="302"/>
      <c r="O2029" s="303"/>
      <c r="P2029" s="295"/>
      <c r="Q2029" s="295"/>
      <c r="R2029" s="295"/>
      <c r="S2029" s="295"/>
      <c r="T2029" s="295"/>
      <c r="U2029" s="295"/>
      <c r="V2029" s="295"/>
      <c r="W2029" s="295"/>
      <c r="X2029" s="295"/>
      <c r="Y2029" s="295"/>
      <c r="Z2029" s="295"/>
      <c r="AA2029" s="295"/>
      <c r="AB2029" s="295"/>
      <c r="AC2029" s="295"/>
      <c r="AD2029" s="295"/>
      <c r="AE2029" s="295"/>
      <c r="AF2029" s="295"/>
      <c r="AG2029" s="295"/>
      <c r="AH2029" s="295"/>
      <c r="AI2029" s="295"/>
      <c r="AJ2029" s="295"/>
    </row>
    <row r="2030" spans="1:36" s="291" customFormat="1" ht="16.2">
      <c r="A2030" s="304"/>
      <c r="B2030" s="289"/>
      <c r="C2030" s="290"/>
      <c r="E2030" s="453"/>
      <c r="G2030" s="454"/>
      <c r="I2030" s="295"/>
      <c r="J2030" s="295"/>
      <c r="K2030" s="295"/>
      <c r="L2030" s="295"/>
      <c r="M2030" s="302"/>
      <c r="N2030" s="302"/>
      <c r="O2030" s="303"/>
      <c r="P2030" s="295"/>
      <c r="Q2030" s="295"/>
      <c r="R2030" s="295"/>
      <c r="S2030" s="295"/>
      <c r="T2030" s="295"/>
      <c r="U2030" s="295"/>
      <c r="V2030" s="295"/>
      <c r="W2030" s="295"/>
      <c r="X2030" s="295"/>
      <c r="Y2030" s="295"/>
      <c r="Z2030" s="295"/>
      <c r="AA2030" s="295"/>
      <c r="AB2030" s="295"/>
      <c r="AC2030" s="295"/>
      <c r="AD2030" s="295"/>
      <c r="AE2030" s="295"/>
      <c r="AF2030" s="295"/>
      <c r="AG2030" s="295"/>
      <c r="AH2030" s="295"/>
      <c r="AI2030" s="295"/>
      <c r="AJ2030" s="295"/>
    </row>
    <row r="2031" spans="1:36" s="291" customFormat="1" ht="16.2">
      <c r="A2031" s="304"/>
      <c r="B2031" s="289"/>
      <c r="C2031" s="290"/>
      <c r="E2031" s="453"/>
      <c r="G2031" s="454"/>
      <c r="I2031" s="295"/>
      <c r="J2031" s="295"/>
      <c r="K2031" s="295"/>
      <c r="L2031" s="295"/>
      <c r="M2031" s="302"/>
      <c r="N2031" s="302"/>
      <c r="O2031" s="303"/>
      <c r="P2031" s="295"/>
      <c r="Q2031" s="295"/>
      <c r="R2031" s="295"/>
      <c r="S2031" s="295"/>
      <c r="T2031" s="295"/>
      <c r="U2031" s="295"/>
      <c r="V2031" s="295"/>
      <c r="W2031" s="295"/>
      <c r="X2031" s="295"/>
      <c r="Y2031" s="295"/>
      <c r="Z2031" s="295"/>
      <c r="AA2031" s="295"/>
      <c r="AB2031" s="295"/>
      <c r="AC2031" s="295"/>
      <c r="AD2031" s="295"/>
      <c r="AE2031" s="295"/>
      <c r="AF2031" s="295"/>
      <c r="AG2031" s="295"/>
      <c r="AH2031" s="295"/>
      <c r="AI2031" s="295"/>
      <c r="AJ2031" s="295"/>
    </row>
    <row r="2032" spans="1:36" s="291" customFormat="1" ht="16.2">
      <c r="A2032" s="304"/>
      <c r="B2032" s="289"/>
      <c r="C2032" s="290"/>
      <c r="E2032" s="453"/>
      <c r="G2032" s="454"/>
      <c r="I2032" s="295"/>
      <c r="J2032" s="295"/>
      <c r="K2032" s="295"/>
      <c r="L2032" s="295"/>
      <c r="M2032" s="302"/>
      <c r="N2032" s="302"/>
      <c r="O2032" s="303"/>
      <c r="P2032" s="295"/>
      <c r="Q2032" s="295"/>
      <c r="R2032" s="295"/>
      <c r="S2032" s="295"/>
      <c r="T2032" s="295"/>
      <c r="U2032" s="295"/>
      <c r="V2032" s="295"/>
      <c r="W2032" s="295"/>
      <c r="X2032" s="295"/>
      <c r="Y2032" s="295"/>
      <c r="Z2032" s="295"/>
      <c r="AA2032" s="295"/>
      <c r="AB2032" s="295"/>
      <c r="AC2032" s="295"/>
      <c r="AD2032" s="295"/>
      <c r="AE2032" s="295"/>
      <c r="AF2032" s="295"/>
      <c r="AG2032" s="295"/>
      <c r="AH2032" s="295"/>
      <c r="AI2032" s="295"/>
      <c r="AJ2032" s="295"/>
    </row>
    <row r="2033" spans="1:36" s="291" customFormat="1" ht="16.2">
      <c r="A2033" s="304"/>
      <c r="B2033" s="289"/>
      <c r="C2033" s="290"/>
      <c r="E2033" s="453"/>
      <c r="G2033" s="454"/>
      <c r="I2033" s="295"/>
      <c r="J2033" s="295"/>
      <c r="K2033" s="295"/>
      <c r="L2033" s="295"/>
      <c r="M2033" s="302"/>
      <c r="N2033" s="302"/>
      <c r="O2033" s="303"/>
      <c r="P2033" s="295"/>
      <c r="Q2033" s="295"/>
      <c r="R2033" s="295"/>
      <c r="S2033" s="295"/>
      <c r="T2033" s="295"/>
      <c r="U2033" s="295"/>
      <c r="V2033" s="295"/>
      <c r="W2033" s="295"/>
      <c r="X2033" s="295"/>
      <c r="Y2033" s="295"/>
      <c r="Z2033" s="295"/>
      <c r="AA2033" s="295"/>
      <c r="AB2033" s="295"/>
      <c r="AC2033" s="295"/>
      <c r="AD2033" s="295"/>
      <c r="AE2033" s="295"/>
      <c r="AF2033" s="295"/>
      <c r="AG2033" s="295"/>
      <c r="AH2033" s="295"/>
      <c r="AI2033" s="295"/>
      <c r="AJ2033" s="295"/>
    </row>
    <row r="2034" spans="1:36" s="291" customFormat="1" ht="16.2">
      <c r="A2034" s="304"/>
      <c r="B2034" s="289"/>
      <c r="C2034" s="290"/>
      <c r="E2034" s="453"/>
      <c r="G2034" s="454"/>
      <c r="I2034" s="295"/>
      <c r="J2034" s="295"/>
      <c r="K2034" s="295"/>
      <c r="L2034" s="295"/>
      <c r="M2034" s="302"/>
      <c r="N2034" s="302"/>
      <c r="O2034" s="303"/>
      <c r="P2034" s="295"/>
      <c r="Q2034" s="295"/>
      <c r="R2034" s="295"/>
      <c r="S2034" s="295"/>
      <c r="T2034" s="295"/>
      <c r="U2034" s="295"/>
      <c r="V2034" s="295"/>
      <c r="W2034" s="295"/>
      <c r="X2034" s="295"/>
      <c r="Y2034" s="295"/>
      <c r="Z2034" s="295"/>
      <c r="AA2034" s="295"/>
      <c r="AB2034" s="295"/>
      <c r="AC2034" s="295"/>
      <c r="AD2034" s="295"/>
      <c r="AE2034" s="295"/>
      <c r="AF2034" s="295"/>
      <c r="AG2034" s="295"/>
      <c r="AH2034" s="295"/>
      <c r="AI2034" s="295"/>
      <c r="AJ2034" s="295"/>
    </row>
    <row r="2035" spans="1:36" s="291" customFormat="1" ht="16.2">
      <c r="A2035" s="304"/>
      <c r="B2035" s="289"/>
      <c r="C2035" s="290"/>
      <c r="E2035" s="453"/>
      <c r="G2035" s="454"/>
      <c r="I2035" s="295"/>
      <c r="J2035" s="295"/>
      <c r="K2035" s="295"/>
      <c r="L2035" s="295"/>
      <c r="M2035" s="302"/>
      <c r="N2035" s="302"/>
      <c r="O2035" s="303"/>
      <c r="P2035" s="295"/>
      <c r="Q2035" s="295"/>
      <c r="R2035" s="295"/>
      <c r="S2035" s="295"/>
      <c r="T2035" s="295"/>
      <c r="U2035" s="295"/>
      <c r="V2035" s="295"/>
      <c r="W2035" s="295"/>
      <c r="X2035" s="295"/>
      <c r="Y2035" s="295"/>
      <c r="Z2035" s="295"/>
      <c r="AA2035" s="295"/>
      <c r="AB2035" s="295"/>
      <c r="AC2035" s="295"/>
      <c r="AD2035" s="295"/>
      <c r="AE2035" s="295"/>
      <c r="AF2035" s="295"/>
      <c r="AG2035" s="295"/>
      <c r="AH2035" s="295"/>
      <c r="AI2035" s="295"/>
      <c r="AJ2035" s="295"/>
    </row>
    <row r="2036" spans="1:36" s="291" customFormat="1" ht="16.2">
      <c r="A2036" s="304"/>
      <c r="B2036" s="289"/>
      <c r="C2036" s="290"/>
      <c r="E2036" s="453"/>
      <c r="G2036" s="454"/>
      <c r="I2036" s="295"/>
      <c r="J2036" s="295"/>
      <c r="K2036" s="295"/>
      <c r="L2036" s="295"/>
      <c r="M2036" s="302"/>
      <c r="N2036" s="302"/>
      <c r="O2036" s="303"/>
      <c r="P2036" s="295"/>
      <c r="Q2036" s="295"/>
      <c r="R2036" s="295"/>
      <c r="S2036" s="295"/>
      <c r="T2036" s="295"/>
      <c r="U2036" s="295"/>
      <c r="V2036" s="295"/>
      <c r="W2036" s="295"/>
      <c r="X2036" s="295"/>
      <c r="Y2036" s="295"/>
      <c r="Z2036" s="295"/>
      <c r="AA2036" s="295"/>
      <c r="AB2036" s="295"/>
      <c r="AC2036" s="295"/>
      <c r="AD2036" s="295"/>
      <c r="AE2036" s="295"/>
      <c r="AF2036" s="295"/>
      <c r="AG2036" s="295"/>
      <c r="AH2036" s="295"/>
      <c r="AI2036" s="295"/>
      <c r="AJ2036" s="295"/>
    </row>
    <row r="2037" spans="1:36" s="291" customFormat="1" ht="16.2">
      <c r="A2037" s="304"/>
      <c r="B2037" s="289"/>
      <c r="C2037" s="290"/>
      <c r="E2037" s="453"/>
      <c r="G2037" s="454"/>
      <c r="I2037" s="295"/>
      <c r="J2037" s="295"/>
      <c r="K2037" s="295"/>
      <c r="L2037" s="295"/>
      <c r="M2037" s="302"/>
      <c r="N2037" s="302"/>
      <c r="O2037" s="303"/>
      <c r="P2037" s="295"/>
      <c r="Q2037" s="295"/>
      <c r="R2037" s="295"/>
      <c r="S2037" s="295"/>
      <c r="T2037" s="295"/>
      <c r="U2037" s="295"/>
      <c r="V2037" s="295"/>
      <c r="W2037" s="295"/>
      <c r="X2037" s="295"/>
      <c r="Y2037" s="295"/>
      <c r="Z2037" s="295"/>
      <c r="AA2037" s="295"/>
      <c r="AB2037" s="295"/>
      <c r="AC2037" s="295"/>
      <c r="AD2037" s="295"/>
      <c r="AE2037" s="295"/>
      <c r="AF2037" s="295"/>
      <c r="AG2037" s="295"/>
      <c r="AH2037" s="295"/>
      <c r="AI2037" s="295"/>
      <c r="AJ2037" s="295"/>
    </row>
    <row r="2038" spans="1:36" s="291" customFormat="1" ht="16.2">
      <c r="A2038" s="304"/>
      <c r="B2038" s="289"/>
      <c r="C2038" s="290"/>
      <c r="E2038" s="453"/>
      <c r="G2038" s="454"/>
      <c r="I2038" s="295"/>
      <c r="J2038" s="295"/>
      <c r="K2038" s="295"/>
      <c r="L2038" s="295"/>
      <c r="M2038" s="302"/>
      <c r="N2038" s="302"/>
      <c r="O2038" s="303"/>
      <c r="P2038" s="295"/>
      <c r="Q2038" s="295"/>
      <c r="R2038" s="295"/>
      <c r="S2038" s="295"/>
      <c r="T2038" s="295"/>
      <c r="U2038" s="295"/>
      <c r="V2038" s="295"/>
      <c r="W2038" s="295"/>
      <c r="X2038" s="295"/>
      <c r="Y2038" s="295"/>
      <c r="Z2038" s="295"/>
      <c r="AA2038" s="295"/>
      <c r="AB2038" s="295"/>
      <c r="AC2038" s="295"/>
      <c r="AD2038" s="295"/>
      <c r="AE2038" s="295"/>
      <c r="AF2038" s="295"/>
      <c r="AG2038" s="295"/>
      <c r="AH2038" s="295"/>
      <c r="AI2038" s="295"/>
      <c r="AJ2038" s="295"/>
    </row>
    <row r="2039" spans="1:36" s="291" customFormat="1" ht="16.2">
      <c r="A2039" s="304"/>
      <c r="B2039" s="289"/>
      <c r="C2039" s="290"/>
      <c r="E2039" s="453"/>
      <c r="G2039" s="454"/>
      <c r="I2039" s="295"/>
      <c r="J2039" s="295"/>
      <c r="K2039" s="295"/>
      <c r="L2039" s="295"/>
      <c r="M2039" s="302"/>
      <c r="N2039" s="302"/>
      <c r="O2039" s="303"/>
      <c r="P2039" s="295"/>
      <c r="Q2039" s="295"/>
      <c r="R2039" s="295"/>
      <c r="S2039" s="295"/>
      <c r="T2039" s="295"/>
      <c r="U2039" s="295"/>
      <c r="V2039" s="295"/>
      <c r="W2039" s="295"/>
      <c r="X2039" s="295"/>
      <c r="Y2039" s="295"/>
      <c r="Z2039" s="295"/>
      <c r="AA2039" s="295"/>
      <c r="AB2039" s="295"/>
      <c r="AC2039" s="295"/>
      <c r="AD2039" s="295"/>
      <c r="AE2039" s="295"/>
      <c r="AF2039" s="295"/>
      <c r="AG2039" s="295"/>
      <c r="AH2039" s="295"/>
      <c r="AI2039" s="295"/>
      <c r="AJ2039" s="295"/>
    </row>
    <row r="2040" spans="1:36" s="291" customFormat="1" ht="16.2">
      <c r="A2040" s="304"/>
      <c r="B2040" s="289"/>
      <c r="C2040" s="290"/>
      <c r="E2040" s="453"/>
      <c r="G2040" s="454"/>
      <c r="I2040" s="295"/>
      <c r="J2040" s="295"/>
      <c r="K2040" s="295"/>
      <c r="L2040" s="295"/>
      <c r="M2040" s="302"/>
      <c r="N2040" s="302"/>
      <c r="O2040" s="303"/>
      <c r="P2040" s="295"/>
      <c r="Q2040" s="295"/>
      <c r="R2040" s="295"/>
      <c r="S2040" s="295"/>
      <c r="T2040" s="295"/>
      <c r="U2040" s="295"/>
      <c r="V2040" s="295"/>
      <c r="W2040" s="295"/>
      <c r="X2040" s="295"/>
      <c r="Y2040" s="295"/>
      <c r="Z2040" s="295"/>
      <c r="AA2040" s="295"/>
      <c r="AB2040" s="295"/>
      <c r="AC2040" s="295"/>
      <c r="AD2040" s="295"/>
      <c r="AE2040" s="295"/>
      <c r="AF2040" s="295"/>
      <c r="AG2040" s="295"/>
      <c r="AH2040" s="295"/>
      <c r="AI2040" s="295"/>
      <c r="AJ2040" s="295"/>
    </row>
    <row r="2041" spans="1:36" s="291" customFormat="1" ht="16.2">
      <c r="A2041" s="304"/>
      <c r="B2041" s="289"/>
      <c r="C2041" s="290"/>
      <c r="E2041" s="453"/>
      <c r="G2041" s="454"/>
      <c r="I2041" s="295"/>
      <c r="J2041" s="295"/>
      <c r="K2041" s="295"/>
      <c r="L2041" s="295"/>
      <c r="M2041" s="302"/>
      <c r="N2041" s="302"/>
      <c r="O2041" s="303"/>
      <c r="P2041" s="295"/>
      <c r="Q2041" s="295"/>
      <c r="R2041" s="295"/>
      <c r="S2041" s="295"/>
      <c r="T2041" s="295"/>
      <c r="U2041" s="295"/>
      <c r="V2041" s="295"/>
      <c r="W2041" s="295"/>
      <c r="X2041" s="295"/>
      <c r="Y2041" s="295"/>
      <c r="Z2041" s="295"/>
      <c r="AA2041" s="295"/>
      <c r="AB2041" s="295"/>
      <c r="AC2041" s="295"/>
      <c r="AD2041" s="295"/>
      <c r="AE2041" s="295"/>
      <c r="AF2041" s="295"/>
      <c r="AG2041" s="295"/>
      <c r="AH2041" s="295"/>
      <c r="AI2041" s="295"/>
      <c r="AJ2041" s="295"/>
    </row>
    <row r="2042" spans="1:36" s="291" customFormat="1" ht="16.2">
      <c r="A2042" s="304"/>
      <c r="B2042" s="289"/>
      <c r="C2042" s="290"/>
      <c r="E2042" s="453"/>
      <c r="G2042" s="454"/>
      <c r="I2042" s="295"/>
      <c r="J2042" s="295"/>
      <c r="K2042" s="295"/>
      <c r="L2042" s="295"/>
      <c r="M2042" s="302"/>
      <c r="N2042" s="302"/>
      <c r="O2042" s="303"/>
      <c r="P2042" s="295"/>
      <c r="Q2042" s="295"/>
      <c r="R2042" s="295"/>
      <c r="S2042" s="295"/>
      <c r="T2042" s="295"/>
      <c r="U2042" s="295"/>
      <c r="V2042" s="295"/>
      <c r="W2042" s="295"/>
      <c r="X2042" s="295"/>
      <c r="Y2042" s="295"/>
      <c r="Z2042" s="295"/>
      <c r="AA2042" s="295"/>
      <c r="AB2042" s="295"/>
      <c r="AC2042" s="295"/>
      <c r="AD2042" s="295"/>
      <c r="AE2042" s="295"/>
      <c r="AF2042" s="295"/>
      <c r="AG2042" s="295"/>
      <c r="AH2042" s="295"/>
      <c r="AI2042" s="295"/>
      <c r="AJ2042" s="295"/>
    </row>
    <row r="2043" spans="1:36" s="291" customFormat="1" ht="16.2">
      <c r="A2043" s="304"/>
      <c r="B2043" s="289"/>
      <c r="C2043" s="290"/>
      <c r="E2043" s="453"/>
      <c r="G2043" s="454"/>
      <c r="I2043" s="295"/>
      <c r="J2043" s="295"/>
      <c r="K2043" s="295"/>
      <c r="L2043" s="295"/>
      <c r="M2043" s="302"/>
      <c r="N2043" s="302"/>
      <c r="O2043" s="303"/>
      <c r="P2043" s="295"/>
      <c r="Q2043" s="295"/>
      <c r="R2043" s="295"/>
      <c r="S2043" s="295"/>
      <c r="T2043" s="295"/>
      <c r="U2043" s="295"/>
      <c r="V2043" s="295"/>
      <c r="W2043" s="295"/>
      <c r="X2043" s="295"/>
      <c r="Y2043" s="295"/>
      <c r="Z2043" s="295"/>
      <c r="AA2043" s="295"/>
      <c r="AB2043" s="295"/>
      <c r="AC2043" s="295"/>
      <c r="AD2043" s="295"/>
      <c r="AE2043" s="295"/>
      <c r="AF2043" s="295"/>
      <c r="AG2043" s="295"/>
      <c r="AH2043" s="295"/>
      <c r="AI2043" s="295"/>
      <c r="AJ2043" s="295"/>
    </row>
    <row r="2044" spans="1:36" s="291" customFormat="1" ht="16.2">
      <c r="A2044" s="304"/>
      <c r="B2044" s="289"/>
      <c r="C2044" s="290"/>
      <c r="E2044" s="453"/>
      <c r="G2044" s="454"/>
      <c r="I2044" s="295"/>
      <c r="J2044" s="295"/>
      <c r="K2044" s="295"/>
      <c r="L2044" s="295"/>
      <c r="M2044" s="302"/>
      <c r="N2044" s="302"/>
      <c r="O2044" s="303"/>
      <c r="P2044" s="295"/>
      <c r="Q2044" s="295"/>
      <c r="R2044" s="295"/>
      <c r="S2044" s="295"/>
      <c r="T2044" s="295"/>
      <c r="U2044" s="295"/>
      <c r="V2044" s="295"/>
      <c r="W2044" s="295"/>
      <c r="X2044" s="295"/>
      <c r="Y2044" s="295"/>
      <c r="Z2044" s="295"/>
      <c r="AA2044" s="295"/>
      <c r="AB2044" s="295"/>
      <c r="AC2044" s="295"/>
      <c r="AD2044" s="295"/>
      <c r="AE2044" s="295"/>
      <c r="AF2044" s="295"/>
      <c r="AG2044" s="295"/>
      <c r="AH2044" s="295"/>
      <c r="AI2044" s="295"/>
      <c r="AJ2044" s="295"/>
    </row>
    <row r="2045" spans="1:36" s="291" customFormat="1" ht="16.2">
      <c r="A2045" s="304"/>
      <c r="B2045" s="289"/>
      <c r="C2045" s="290"/>
      <c r="E2045" s="453"/>
      <c r="G2045" s="454"/>
      <c r="I2045" s="295"/>
      <c r="J2045" s="295"/>
      <c r="K2045" s="295"/>
      <c r="L2045" s="295"/>
      <c r="M2045" s="302"/>
      <c r="N2045" s="302"/>
      <c r="O2045" s="303"/>
      <c r="P2045" s="295"/>
      <c r="Q2045" s="295"/>
      <c r="R2045" s="295"/>
      <c r="S2045" s="295"/>
      <c r="T2045" s="295"/>
      <c r="U2045" s="295"/>
      <c r="V2045" s="295"/>
      <c r="W2045" s="295"/>
      <c r="X2045" s="295"/>
      <c r="Y2045" s="295"/>
      <c r="Z2045" s="295"/>
      <c r="AA2045" s="295"/>
      <c r="AB2045" s="295"/>
      <c r="AC2045" s="295"/>
      <c r="AD2045" s="295"/>
      <c r="AE2045" s="295"/>
      <c r="AF2045" s="295"/>
      <c r="AG2045" s="295"/>
      <c r="AH2045" s="295"/>
      <c r="AI2045" s="295"/>
      <c r="AJ2045" s="295"/>
    </row>
    <row r="2046" spans="1:36" s="291" customFormat="1" ht="16.2">
      <c r="A2046" s="304"/>
      <c r="B2046" s="289"/>
      <c r="C2046" s="290"/>
      <c r="E2046" s="453"/>
      <c r="G2046" s="454"/>
      <c r="I2046" s="295"/>
      <c r="J2046" s="295"/>
      <c r="K2046" s="295"/>
      <c r="L2046" s="295"/>
      <c r="M2046" s="302"/>
      <c r="N2046" s="302"/>
      <c r="O2046" s="303"/>
      <c r="P2046" s="295"/>
      <c r="Q2046" s="295"/>
      <c r="R2046" s="295"/>
      <c r="S2046" s="295"/>
      <c r="T2046" s="295"/>
      <c r="U2046" s="295"/>
      <c r="V2046" s="295"/>
      <c r="W2046" s="295"/>
      <c r="X2046" s="295"/>
      <c r="Y2046" s="295"/>
      <c r="Z2046" s="295"/>
      <c r="AA2046" s="295"/>
      <c r="AB2046" s="295"/>
      <c r="AC2046" s="295"/>
      <c r="AD2046" s="295"/>
      <c r="AE2046" s="295"/>
      <c r="AF2046" s="295"/>
      <c r="AG2046" s="295"/>
      <c r="AH2046" s="295"/>
      <c r="AI2046" s="295"/>
      <c r="AJ2046" s="295"/>
    </row>
    <row r="2047" spans="1:36" s="291" customFormat="1" ht="16.2">
      <c r="A2047" s="304"/>
      <c r="B2047" s="289"/>
      <c r="C2047" s="290"/>
      <c r="E2047" s="453"/>
      <c r="G2047" s="454"/>
      <c r="I2047" s="295"/>
      <c r="J2047" s="295"/>
      <c r="K2047" s="295"/>
      <c r="L2047" s="295"/>
      <c r="M2047" s="302"/>
      <c r="N2047" s="302"/>
      <c r="O2047" s="303"/>
      <c r="P2047" s="295"/>
      <c r="Q2047" s="295"/>
      <c r="R2047" s="295"/>
      <c r="S2047" s="295"/>
      <c r="T2047" s="295"/>
      <c r="U2047" s="295"/>
      <c r="V2047" s="295"/>
      <c r="W2047" s="295"/>
      <c r="X2047" s="295"/>
      <c r="Y2047" s="295"/>
      <c r="Z2047" s="295"/>
      <c r="AA2047" s="295"/>
      <c r="AB2047" s="295"/>
      <c r="AC2047" s="295"/>
      <c r="AD2047" s="295"/>
      <c r="AE2047" s="295"/>
      <c r="AF2047" s="295"/>
      <c r="AG2047" s="295"/>
      <c r="AH2047" s="295"/>
      <c r="AI2047" s="295"/>
      <c r="AJ2047" s="295"/>
    </row>
    <row r="2048" spans="1:36" s="291" customFormat="1" ht="16.2">
      <c r="A2048" s="304"/>
      <c r="B2048" s="289"/>
      <c r="C2048" s="290"/>
      <c r="E2048" s="453"/>
      <c r="G2048" s="454"/>
      <c r="I2048" s="295"/>
      <c r="J2048" s="295"/>
      <c r="K2048" s="295"/>
      <c r="L2048" s="295"/>
      <c r="M2048" s="302"/>
      <c r="N2048" s="302"/>
      <c r="O2048" s="303"/>
      <c r="P2048" s="295"/>
      <c r="Q2048" s="295"/>
      <c r="R2048" s="295"/>
      <c r="S2048" s="295"/>
      <c r="T2048" s="295"/>
      <c r="U2048" s="295"/>
      <c r="V2048" s="295"/>
      <c r="W2048" s="295"/>
      <c r="X2048" s="295"/>
      <c r="Y2048" s="295"/>
      <c r="Z2048" s="295"/>
      <c r="AA2048" s="295"/>
      <c r="AB2048" s="295"/>
      <c r="AC2048" s="295"/>
      <c r="AD2048" s="295"/>
      <c r="AE2048" s="295"/>
      <c r="AF2048" s="295"/>
      <c r="AG2048" s="295"/>
      <c r="AH2048" s="295"/>
      <c r="AI2048" s="295"/>
      <c r="AJ2048" s="295"/>
    </row>
    <row r="2049" spans="1:36" s="291" customFormat="1" ht="16.2">
      <c r="A2049" s="304"/>
      <c r="B2049" s="289"/>
      <c r="C2049" s="290"/>
      <c r="E2049" s="453"/>
      <c r="G2049" s="454"/>
      <c r="I2049" s="295"/>
      <c r="J2049" s="295"/>
      <c r="K2049" s="295"/>
      <c r="L2049" s="295"/>
      <c r="M2049" s="302"/>
      <c r="N2049" s="302"/>
      <c r="O2049" s="303"/>
      <c r="P2049" s="295"/>
      <c r="Q2049" s="295"/>
      <c r="R2049" s="295"/>
      <c r="S2049" s="295"/>
      <c r="T2049" s="295"/>
      <c r="U2049" s="295"/>
      <c r="V2049" s="295"/>
      <c r="W2049" s="295"/>
      <c r="X2049" s="295"/>
      <c r="Y2049" s="295"/>
      <c r="Z2049" s="295"/>
      <c r="AA2049" s="295"/>
      <c r="AB2049" s="295"/>
      <c r="AC2049" s="295"/>
      <c r="AD2049" s="295"/>
      <c r="AE2049" s="295"/>
      <c r="AF2049" s="295"/>
      <c r="AG2049" s="295"/>
      <c r="AH2049" s="295"/>
      <c r="AI2049" s="295"/>
      <c r="AJ2049" s="295"/>
    </row>
    <row r="2050" spans="1:36" s="291" customFormat="1" ht="16.2">
      <c r="A2050" s="304"/>
      <c r="B2050" s="289"/>
      <c r="C2050" s="290"/>
      <c r="E2050" s="453"/>
      <c r="G2050" s="454"/>
      <c r="I2050" s="295"/>
      <c r="J2050" s="295"/>
      <c r="K2050" s="295"/>
      <c r="L2050" s="295"/>
      <c r="M2050" s="302"/>
      <c r="N2050" s="302"/>
      <c r="O2050" s="303"/>
      <c r="P2050" s="295"/>
      <c r="Q2050" s="295"/>
      <c r="R2050" s="295"/>
      <c r="S2050" s="295"/>
      <c r="T2050" s="295"/>
      <c r="U2050" s="295"/>
      <c r="V2050" s="295"/>
      <c r="W2050" s="295"/>
      <c r="X2050" s="295"/>
      <c r="Y2050" s="295"/>
      <c r="Z2050" s="295"/>
      <c r="AA2050" s="295"/>
      <c r="AB2050" s="295"/>
      <c r="AC2050" s="295"/>
      <c r="AD2050" s="295"/>
      <c r="AE2050" s="295"/>
      <c r="AF2050" s="295"/>
      <c r="AG2050" s="295"/>
      <c r="AH2050" s="295"/>
      <c r="AI2050" s="295"/>
      <c r="AJ2050" s="295"/>
    </row>
    <row r="2051" spans="1:36" s="291" customFormat="1" ht="16.2">
      <c r="A2051" s="304"/>
      <c r="B2051" s="289"/>
      <c r="C2051" s="290"/>
      <c r="E2051" s="453"/>
      <c r="G2051" s="454"/>
      <c r="I2051" s="295"/>
      <c r="J2051" s="295"/>
      <c r="K2051" s="295"/>
      <c r="L2051" s="295"/>
      <c r="M2051" s="302"/>
      <c r="N2051" s="302"/>
      <c r="O2051" s="303"/>
      <c r="P2051" s="295"/>
      <c r="Q2051" s="295"/>
      <c r="R2051" s="295"/>
      <c r="S2051" s="295"/>
      <c r="T2051" s="295"/>
      <c r="U2051" s="295"/>
      <c r="V2051" s="295"/>
      <c r="W2051" s="295"/>
      <c r="X2051" s="295"/>
      <c r="Y2051" s="295"/>
      <c r="Z2051" s="295"/>
      <c r="AA2051" s="295"/>
      <c r="AB2051" s="295"/>
      <c r="AC2051" s="295"/>
      <c r="AD2051" s="295"/>
      <c r="AE2051" s="295"/>
      <c r="AF2051" s="295"/>
      <c r="AG2051" s="295"/>
      <c r="AH2051" s="295"/>
      <c r="AI2051" s="295"/>
      <c r="AJ2051" s="295"/>
    </row>
    <row r="2052" spans="1:36" s="291" customFormat="1" ht="16.2">
      <c r="A2052" s="304"/>
      <c r="B2052" s="289"/>
      <c r="C2052" s="290"/>
      <c r="E2052" s="453"/>
      <c r="G2052" s="454"/>
      <c r="I2052" s="295"/>
      <c r="J2052" s="295"/>
      <c r="K2052" s="295"/>
      <c r="L2052" s="295"/>
      <c r="M2052" s="302"/>
      <c r="N2052" s="302"/>
      <c r="O2052" s="303"/>
      <c r="P2052" s="295"/>
      <c r="Q2052" s="295"/>
      <c r="R2052" s="295"/>
      <c r="S2052" s="295"/>
      <c r="T2052" s="295"/>
      <c r="U2052" s="295"/>
      <c r="V2052" s="295"/>
      <c r="W2052" s="295"/>
      <c r="X2052" s="295"/>
      <c r="Y2052" s="295"/>
      <c r="Z2052" s="295"/>
      <c r="AA2052" s="295"/>
      <c r="AB2052" s="295"/>
      <c r="AC2052" s="295"/>
      <c r="AD2052" s="295"/>
      <c r="AE2052" s="295"/>
      <c r="AF2052" s="295"/>
      <c r="AG2052" s="295"/>
      <c r="AH2052" s="295"/>
      <c r="AI2052" s="295"/>
      <c r="AJ2052" s="295"/>
    </row>
    <row r="2053" spans="1:36" s="291" customFormat="1" ht="16.2">
      <c r="A2053" s="304"/>
      <c r="B2053" s="289"/>
      <c r="C2053" s="290"/>
      <c r="E2053" s="453"/>
      <c r="G2053" s="454"/>
      <c r="I2053" s="295"/>
      <c r="J2053" s="295"/>
      <c r="K2053" s="295"/>
      <c r="L2053" s="295"/>
      <c r="M2053" s="302"/>
      <c r="N2053" s="302"/>
      <c r="O2053" s="303"/>
      <c r="P2053" s="295"/>
      <c r="Q2053" s="295"/>
      <c r="R2053" s="295"/>
      <c r="S2053" s="295"/>
      <c r="T2053" s="295"/>
      <c r="U2053" s="295"/>
      <c r="V2053" s="295"/>
      <c r="W2053" s="295"/>
      <c r="X2053" s="295"/>
      <c r="Y2053" s="295"/>
      <c r="Z2053" s="295"/>
      <c r="AA2053" s="295"/>
      <c r="AB2053" s="295"/>
      <c r="AC2053" s="295"/>
      <c r="AD2053" s="295"/>
      <c r="AE2053" s="295"/>
      <c r="AF2053" s="295"/>
      <c r="AG2053" s="295"/>
      <c r="AH2053" s="295"/>
      <c r="AI2053" s="295"/>
      <c r="AJ2053" s="295"/>
    </row>
    <row r="2054" spans="1:36" s="291" customFormat="1" ht="16.2">
      <c r="A2054" s="304"/>
      <c r="B2054" s="289"/>
      <c r="C2054" s="290"/>
      <c r="E2054" s="453"/>
      <c r="G2054" s="454"/>
      <c r="I2054" s="295"/>
      <c r="J2054" s="295"/>
      <c r="K2054" s="295"/>
      <c r="L2054" s="295"/>
      <c r="M2054" s="302"/>
      <c r="N2054" s="302"/>
      <c r="O2054" s="303"/>
      <c r="P2054" s="295"/>
      <c r="Q2054" s="295"/>
      <c r="R2054" s="295"/>
      <c r="S2054" s="295"/>
      <c r="T2054" s="295"/>
      <c r="U2054" s="295"/>
      <c r="V2054" s="295"/>
      <c r="W2054" s="295"/>
      <c r="X2054" s="295"/>
      <c r="Y2054" s="295"/>
      <c r="Z2054" s="295"/>
      <c r="AA2054" s="295"/>
      <c r="AB2054" s="295"/>
      <c r="AC2054" s="295"/>
      <c r="AD2054" s="295"/>
      <c r="AE2054" s="295"/>
      <c r="AF2054" s="295"/>
      <c r="AG2054" s="295"/>
      <c r="AH2054" s="295"/>
      <c r="AI2054" s="295"/>
      <c r="AJ2054" s="295"/>
    </row>
    <row r="2055" spans="1:36" s="291" customFormat="1" ht="16.2">
      <c r="A2055" s="304"/>
      <c r="B2055" s="289"/>
      <c r="C2055" s="290"/>
      <c r="E2055" s="453"/>
      <c r="G2055" s="454"/>
      <c r="I2055" s="295"/>
      <c r="J2055" s="295"/>
      <c r="K2055" s="295"/>
      <c r="L2055" s="295"/>
      <c r="M2055" s="302"/>
      <c r="N2055" s="302"/>
      <c r="O2055" s="303"/>
      <c r="P2055" s="295"/>
      <c r="Q2055" s="295"/>
      <c r="R2055" s="295"/>
      <c r="S2055" s="295"/>
      <c r="T2055" s="295"/>
      <c r="U2055" s="295"/>
      <c r="V2055" s="295"/>
      <c r="W2055" s="295"/>
      <c r="X2055" s="295"/>
      <c r="Y2055" s="295"/>
      <c r="Z2055" s="295"/>
      <c r="AA2055" s="295"/>
      <c r="AB2055" s="295"/>
      <c r="AC2055" s="295"/>
      <c r="AD2055" s="295"/>
      <c r="AE2055" s="295"/>
      <c r="AF2055" s="295"/>
      <c r="AG2055" s="295"/>
      <c r="AH2055" s="295"/>
      <c r="AI2055" s="295"/>
      <c r="AJ2055" s="295"/>
    </row>
    <row r="2056" spans="1:36" s="291" customFormat="1" ht="16.2">
      <c r="A2056" s="304"/>
      <c r="B2056" s="289"/>
      <c r="C2056" s="290"/>
      <c r="E2056" s="453"/>
      <c r="G2056" s="454"/>
      <c r="I2056" s="295"/>
      <c r="J2056" s="295"/>
      <c r="K2056" s="295"/>
      <c r="L2056" s="295"/>
      <c r="M2056" s="302"/>
      <c r="N2056" s="302"/>
      <c r="O2056" s="303"/>
      <c r="P2056" s="295"/>
      <c r="Q2056" s="295"/>
      <c r="R2056" s="295"/>
      <c r="S2056" s="295"/>
      <c r="T2056" s="295"/>
      <c r="U2056" s="295"/>
      <c r="V2056" s="295"/>
      <c r="W2056" s="295"/>
      <c r="X2056" s="295"/>
      <c r="Y2056" s="295"/>
      <c r="Z2056" s="295"/>
      <c r="AA2056" s="295"/>
      <c r="AB2056" s="295"/>
      <c r="AC2056" s="295"/>
      <c r="AD2056" s="295"/>
      <c r="AE2056" s="295"/>
      <c r="AF2056" s="295"/>
      <c r="AG2056" s="295"/>
      <c r="AH2056" s="295"/>
      <c r="AI2056" s="295"/>
      <c r="AJ2056" s="295"/>
    </row>
    <row r="2057" spans="1:36" s="291" customFormat="1" ht="16.2">
      <c r="A2057" s="304"/>
      <c r="B2057" s="289"/>
      <c r="C2057" s="290"/>
      <c r="E2057" s="453"/>
      <c r="G2057" s="454"/>
      <c r="I2057" s="295"/>
      <c r="J2057" s="295"/>
      <c r="K2057" s="295"/>
      <c r="L2057" s="295"/>
      <c r="M2057" s="302"/>
      <c r="N2057" s="302"/>
      <c r="O2057" s="303"/>
      <c r="P2057" s="295"/>
      <c r="Q2057" s="295"/>
      <c r="R2057" s="295"/>
      <c r="S2057" s="295"/>
      <c r="T2057" s="295"/>
      <c r="U2057" s="295"/>
      <c r="V2057" s="295"/>
      <c r="W2057" s="295"/>
      <c r="X2057" s="295"/>
      <c r="Y2057" s="295"/>
      <c r="Z2057" s="295"/>
      <c r="AA2057" s="295"/>
      <c r="AB2057" s="295"/>
      <c r="AC2057" s="295"/>
      <c r="AD2057" s="295"/>
      <c r="AE2057" s="295"/>
      <c r="AF2057" s="295"/>
      <c r="AG2057" s="295"/>
      <c r="AH2057" s="295"/>
      <c r="AI2057" s="295"/>
      <c r="AJ2057" s="295"/>
    </row>
    <row r="2058" spans="1:36" s="291" customFormat="1" ht="16.2">
      <c r="A2058" s="304"/>
      <c r="B2058" s="289"/>
      <c r="C2058" s="290"/>
      <c r="E2058" s="453"/>
      <c r="G2058" s="454"/>
      <c r="I2058" s="295"/>
      <c r="J2058" s="295"/>
      <c r="K2058" s="295"/>
      <c r="L2058" s="295"/>
      <c r="M2058" s="302"/>
      <c r="N2058" s="302"/>
      <c r="O2058" s="303"/>
      <c r="P2058" s="295"/>
      <c r="Q2058" s="295"/>
      <c r="R2058" s="295"/>
      <c r="S2058" s="295"/>
      <c r="T2058" s="295"/>
      <c r="U2058" s="295"/>
      <c r="V2058" s="295"/>
      <c r="W2058" s="295"/>
      <c r="X2058" s="295"/>
      <c r="Y2058" s="295"/>
      <c r="Z2058" s="295"/>
      <c r="AA2058" s="295"/>
      <c r="AB2058" s="295"/>
      <c r="AC2058" s="295"/>
      <c r="AD2058" s="295"/>
      <c r="AE2058" s="295"/>
      <c r="AF2058" s="295"/>
      <c r="AG2058" s="295"/>
      <c r="AH2058" s="295"/>
      <c r="AI2058" s="295"/>
      <c r="AJ2058" s="295"/>
    </row>
    <row r="2059" spans="1:36" s="291" customFormat="1" ht="16.2">
      <c r="A2059" s="304"/>
      <c r="B2059" s="289"/>
      <c r="C2059" s="290"/>
      <c r="E2059" s="453"/>
      <c r="G2059" s="454"/>
      <c r="I2059" s="295"/>
      <c r="J2059" s="295"/>
      <c r="K2059" s="295"/>
      <c r="L2059" s="295"/>
      <c r="M2059" s="302"/>
      <c r="N2059" s="302"/>
      <c r="O2059" s="303"/>
      <c r="P2059" s="295"/>
      <c r="Q2059" s="295"/>
      <c r="R2059" s="295"/>
      <c r="S2059" s="295"/>
      <c r="T2059" s="295"/>
      <c r="U2059" s="295"/>
      <c r="V2059" s="295"/>
      <c r="W2059" s="295"/>
      <c r="X2059" s="295"/>
      <c r="Y2059" s="295"/>
      <c r="Z2059" s="295"/>
      <c r="AA2059" s="295"/>
      <c r="AB2059" s="295"/>
      <c r="AC2059" s="295"/>
      <c r="AD2059" s="295"/>
      <c r="AE2059" s="295"/>
      <c r="AF2059" s="295"/>
      <c r="AG2059" s="295"/>
      <c r="AH2059" s="295"/>
      <c r="AI2059" s="295"/>
      <c r="AJ2059" s="295"/>
    </row>
    <row r="2060" spans="1:36" s="291" customFormat="1" ht="16.2">
      <c r="A2060" s="304"/>
      <c r="B2060" s="289"/>
      <c r="C2060" s="290"/>
      <c r="E2060" s="453"/>
      <c r="G2060" s="454"/>
      <c r="I2060" s="295"/>
      <c r="J2060" s="295"/>
      <c r="K2060" s="295"/>
      <c r="L2060" s="295"/>
      <c r="M2060" s="302"/>
      <c r="N2060" s="302"/>
      <c r="O2060" s="303"/>
      <c r="P2060" s="295"/>
      <c r="Q2060" s="295"/>
      <c r="R2060" s="295"/>
      <c r="S2060" s="295"/>
      <c r="T2060" s="295"/>
      <c r="U2060" s="295"/>
      <c r="V2060" s="295"/>
      <c r="W2060" s="295"/>
      <c r="X2060" s="295"/>
      <c r="Y2060" s="295"/>
      <c r="Z2060" s="295"/>
      <c r="AA2060" s="295"/>
      <c r="AB2060" s="295"/>
      <c r="AC2060" s="295"/>
      <c r="AD2060" s="295"/>
      <c r="AE2060" s="295"/>
      <c r="AF2060" s="295"/>
      <c r="AG2060" s="295"/>
      <c r="AH2060" s="295"/>
      <c r="AI2060" s="295"/>
      <c r="AJ2060" s="295"/>
    </row>
    <row r="2061" spans="1:36" s="291" customFormat="1" ht="16.2">
      <c r="A2061" s="304"/>
      <c r="B2061" s="289"/>
      <c r="C2061" s="290"/>
      <c r="E2061" s="453"/>
      <c r="G2061" s="454"/>
      <c r="I2061" s="295"/>
      <c r="J2061" s="295"/>
      <c r="K2061" s="295"/>
      <c r="L2061" s="295"/>
      <c r="M2061" s="302"/>
      <c r="N2061" s="302"/>
      <c r="O2061" s="303"/>
      <c r="P2061" s="295"/>
      <c r="Q2061" s="295"/>
      <c r="R2061" s="295"/>
      <c r="S2061" s="295"/>
      <c r="T2061" s="295"/>
      <c r="U2061" s="295"/>
      <c r="V2061" s="295"/>
      <c r="W2061" s="295"/>
      <c r="X2061" s="295"/>
      <c r="Y2061" s="295"/>
      <c r="Z2061" s="295"/>
      <c r="AA2061" s="295"/>
      <c r="AB2061" s="295"/>
      <c r="AC2061" s="295"/>
      <c r="AD2061" s="295"/>
      <c r="AE2061" s="295"/>
      <c r="AF2061" s="295"/>
      <c r="AG2061" s="295"/>
      <c r="AH2061" s="295"/>
      <c r="AI2061" s="295"/>
      <c r="AJ2061" s="295"/>
    </row>
    <row r="2062" spans="1:36" s="291" customFormat="1" ht="16.2">
      <c r="A2062" s="304"/>
      <c r="B2062" s="289"/>
      <c r="C2062" s="290"/>
      <c r="E2062" s="453"/>
      <c r="G2062" s="454"/>
      <c r="I2062" s="295"/>
      <c r="J2062" s="295"/>
      <c r="K2062" s="295"/>
      <c r="L2062" s="295"/>
      <c r="M2062" s="302"/>
      <c r="N2062" s="302"/>
      <c r="O2062" s="303"/>
      <c r="P2062" s="295"/>
      <c r="Q2062" s="295"/>
      <c r="R2062" s="295"/>
      <c r="S2062" s="295"/>
      <c r="T2062" s="295"/>
      <c r="U2062" s="295"/>
      <c r="V2062" s="295"/>
      <c r="W2062" s="295"/>
      <c r="X2062" s="295"/>
      <c r="Y2062" s="295"/>
      <c r="Z2062" s="295"/>
      <c r="AA2062" s="295"/>
      <c r="AB2062" s="295"/>
      <c r="AC2062" s="295"/>
      <c r="AD2062" s="295"/>
      <c r="AE2062" s="295"/>
      <c r="AF2062" s="295"/>
      <c r="AG2062" s="295"/>
      <c r="AH2062" s="295"/>
      <c r="AI2062" s="295"/>
      <c r="AJ2062" s="295"/>
    </row>
    <row r="2063" spans="1:36" s="291" customFormat="1" ht="16.2">
      <c r="A2063" s="304"/>
      <c r="B2063" s="289"/>
      <c r="C2063" s="290"/>
      <c r="E2063" s="453"/>
      <c r="G2063" s="454"/>
      <c r="I2063" s="295"/>
      <c r="J2063" s="295"/>
      <c r="K2063" s="295"/>
      <c r="L2063" s="295"/>
      <c r="M2063" s="302"/>
      <c r="N2063" s="302"/>
      <c r="O2063" s="303"/>
      <c r="P2063" s="295"/>
      <c r="Q2063" s="295"/>
      <c r="R2063" s="295"/>
      <c r="S2063" s="295"/>
      <c r="T2063" s="295"/>
      <c r="U2063" s="295"/>
      <c r="V2063" s="295"/>
      <c r="W2063" s="295"/>
      <c r="X2063" s="295"/>
      <c r="Y2063" s="295"/>
      <c r="Z2063" s="295"/>
      <c r="AA2063" s="295"/>
      <c r="AB2063" s="295"/>
      <c r="AC2063" s="295"/>
      <c r="AD2063" s="295"/>
      <c r="AE2063" s="295"/>
      <c r="AF2063" s="295"/>
      <c r="AG2063" s="295"/>
      <c r="AH2063" s="295"/>
      <c r="AI2063" s="295"/>
      <c r="AJ2063" s="295"/>
    </row>
    <row r="2064" spans="1:36" s="291" customFormat="1" ht="16.2">
      <c r="A2064" s="304"/>
      <c r="B2064" s="289"/>
      <c r="C2064" s="290"/>
      <c r="E2064" s="453"/>
      <c r="G2064" s="454"/>
      <c r="I2064" s="295"/>
      <c r="J2064" s="295"/>
      <c r="K2064" s="295"/>
      <c r="L2064" s="295"/>
      <c r="M2064" s="302"/>
      <c r="N2064" s="302"/>
      <c r="O2064" s="303"/>
      <c r="P2064" s="295"/>
      <c r="Q2064" s="295"/>
      <c r="R2064" s="295"/>
      <c r="S2064" s="295"/>
      <c r="T2064" s="295"/>
      <c r="U2064" s="295"/>
      <c r="V2064" s="295"/>
      <c r="W2064" s="295"/>
      <c r="X2064" s="295"/>
      <c r="Y2064" s="295"/>
      <c r="Z2064" s="295"/>
      <c r="AA2064" s="295"/>
      <c r="AB2064" s="295"/>
      <c r="AC2064" s="295"/>
      <c r="AD2064" s="295"/>
      <c r="AE2064" s="295"/>
      <c r="AF2064" s="295"/>
      <c r="AG2064" s="295"/>
      <c r="AH2064" s="295"/>
      <c r="AI2064" s="295"/>
      <c r="AJ2064" s="295"/>
    </row>
    <row r="2065" spans="1:36" s="291" customFormat="1" ht="16.2">
      <c r="A2065" s="304"/>
      <c r="B2065" s="289"/>
      <c r="C2065" s="290"/>
      <c r="E2065" s="453"/>
      <c r="G2065" s="454"/>
      <c r="I2065" s="295"/>
      <c r="J2065" s="295"/>
      <c r="K2065" s="295"/>
      <c r="L2065" s="295"/>
      <c r="M2065" s="302"/>
      <c r="N2065" s="302"/>
      <c r="O2065" s="303"/>
      <c r="P2065" s="295"/>
      <c r="Q2065" s="295"/>
      <c r="R2065" s="295"/>
      <c r="S2065" s="295"/>
      <c r="T2065" s="295"/>
      <c r="U2065" s="295"/>
      <c r="V2065" s="295"/>
      <c r="W2065" s="295"/>
      <c r="X2065" s="295"/>
      <c r="Y2065" s="295"/>
      <c r="Z2065" s="295"/>
      <c r="AA2065" s="295"/>
      <c r="AB2065" s="295"/>
      <c r="AC2065" s="295"/>
      <c r="AD2065" s="295"/>
      <c r="AE2065" s="295"/>
      <c r="AF2065" s="295"/>
      <c r="AG2065" s="295"/>
      <c r="AH2065" s="295"/>
      <c r="AI2065" s="295"/>
      <c r="AJ2065" s="295"/>
    </row>
    <row r="2066" spans="1:36" s="291" customFormat="1" ht="16.2">
      <c r="A2066" s="304"/>
      <c r="B2066" s="289"/>
      <c r="C2066" s="290"/>
      <c r="E2066" s="453"/>
      <c r="G2066" s="454"/>
      <c r="I2066" s="295"/>
      <c r="J2066" s="295"/>
      <c r="K2066" s="295"/>
      <c r="L2066" s="295"/>
      <c r="M2066" s="302"/>
      <c r="N2066" s="302"/>
      <c r="O2066" s="303"/>
      <c r="P2066" s="295"/>
      <c r="Q2066" s="295"/>
      <c r="R2066" s="295"/>
      <c r="S2066" s="295"/>
      <c r="T2066" s="295"/>
      <c r="U2066" s="295"/>
      <c r="V2066" s="295"/>
      <c r="W2066" s="295"/>
      <c r="X2066" s="295"/>
      <c r="Y2066" s="295"/>
      <c r="Z2066" s="295"/>
      <c r="AA2066" s="295"/>
      <c r="AB2066" s="295"/>
      <c r="AC2066" s="295"/>
      <c r="AD2066" s="295"/>
      <c r="AE2066" s="295"/>
      <c r="AF2066" s="295"/>
      <c r="AG2066" s="295"/>
      <c r="AH2066" s="295"/>
      <c r="AI2066" s="295"/>
      <c r="AJ2066" s="295"/>
    </row>
    <row r="2067" spans="1:36" s="291" customFormat="1" ht="16.2">
      <c r="A2067" s="304"/>
      <c r="B2067" s="289"/>
      <c r="C2067" s="290"/>
      <c r="E2067" s="453"/>
      <c r="G2067" s="454"/>
      <c r="I2067" s="295"/>
      <c r="J2067" s="295"/>
      <c r="K2067" s="295"/>
      <c r="L2067" s="295"/>
      <c r="M2067" s="302"/>
      <c r="N2067" s="302"/>
      <c r="O2067" s="303"/>
      <c r="P2067" s="295"/>
      <c r="Q2067" s="295"/>
      <c r="R2067" s="295"/>
      <c r="S2067" s="295"/>
      <c r="T2067" s="295"/>
      <c r="U2067" s="295"/>
      <c r="V2067" s="295"/>
      <c r="W2067" s="295"/>
      <c r="X2067" s="295"/>
      <c r="Y2067" s="295"/>
      <c r="Z2067" s="295"/>
      <c r="AA2067" s="295"/>
      <c r="AB2067" s="295"/>
      <c r="AC2067" s="295"/>
      <c r="AD2067" s="295"/>
      <c r="AE2067" s="295"/>
      <c r="AF2067" s="295"/>
      <c r="AG2067" s="295"/>
      <c r="AH2067" s="295"/>
      <c r="AI2067" s="295"/>
      <c r="AJ2067" s="295"/>
    </row>
    <row r="2068" spans="1:36" s="291" customFormat="1" ht="16.2">
      <c r="A2068" s="304"/>
      <c r="B2068" s="289"/>
      <c r="C2068" s="290"/>
      <c r="E2068" s="453"/>
      <c r="G2068" s="454"/>
      <c r="I2068" s="295"/>
      <c r="J2068" s="295"/>
      <c r="K2068" s="295"/>
      <c r="L2068" s="295"/>
      <c r="M2068" s="302"/>
      <c r="N2068" s="302"/>
      <c r="O2068" s="303"/>
      <c r="P2068" s="295"/>
      <c r="Q2068" s="295"/>
      <c r="R2068" s="295"/>
      <c r="S2068" s="295"/>
      <c r="T2068" s="295"/>
      <c r="U2068" s="295"/>
      <c r="V2068" s="295"/>
      <c r="W2068" s="295"/>
      <c r="X2068" s="295"/>
      <c r="Y2068" s="295"/>
      <c r="Z2068" s="295"/>
      <c r="AA2068" s="295"/>
      <c r="AB2068" s="295"/>
      <c r="AC2068" s="295"/>
      <c r="AD2068" s="295"/>
      <c r="AE2068" s="295"/>
      <c r="AF2068" s="295"/>
      <c r="AG2068" s="295"/>
      <c r="AH2068" s="295"/>
      <c r="AI2068" s="295"/>
      <c r="AJ2068" s="295"/>
    </row>
    <row r="2069" spans="1:36" s="291" customFormat="1" ht="16.2">
      <c r="A2069" s="304"/>
      <c r="B2069" s="289"/>
      <c r="C2069" s="290"/>
      <c r="E2069" s="453"/>
      <c r="G2069" s="454"/>
      <c r="I2069" s="295"/>
      <c r="J2069" s="295"/>
      <c r="K2069" s="295"/>
      <c r="L2069" s="295"/>
      <c r="M2069" s="302"/>
      <c r="N2069" s="302"/>
      <c r="O2069" s="303"/>
      <c r="P2069" s="295"/>
      <c r="Q2069" s="295"/>
      <c r="R2069" s="295"/>
      <c r="S2069" s="295"/>
      <c r="T2069" s="295"/>
      <c r="U2069" s="295"/>
      <c r="V2069" s="295"/>
      <c r="W2069" s="295"/>
      <c r="X2069" s="295"/>
      <c r="Y2069" s="295"/>
      <c r="Z2069" s="295"/>
      <c r="AA2069" s="295"/>
      <c r="AB2069" s="295"/>
      <c r="AC2069" s="295"/>
      <c r="AD2069" s="295"/>
      <c r="AE2069" s="295"/>
      <c r="AF2069" s="295"/>
      <c r="AG2069" s="295"/>
      <c r="AH2069" s="295"/>
      <c r="AI2069" s="295"/>
      <c r="AJ2069" s="295"/>
    </row>
    <row r="2070" spans="1:36" s="291" customFormat="1" ht="16.2">
      <c r="A2070" s="304"/>
      <c r="B2070" s="289"/>
      <c r="C2070" s="290"/>
      <c r="E2070" s="453"/>
      <c r="G2070" s="454"/>
      <c r="I2070" s="295"/>
      <c r="J2070" s="295"/>
      <c r="K2070" s="295"/>
      <c r="L2070" s="295"/>
      <c r="M2070" s="302"/>
      <c r="N2070" s="302"/>
      <c r="O2070" s="303"/>
      <c r="P2070" s="295"/>
      <c r="Q2070" s="295"/>
      <c r="R2070" s="295"/>
      <c r="S2070" s="295"/>
      <c r="T2070" s="295"/>
      <c r="U2070" s="295"/>
      <c r="V2070" s="295"/>
      <c r="W2070" s="295"/>
      <c r="X2070" s="295"/>
      <c r="Y2070" s="295"/>
      <c r="Z2070" s="295"/>
      <c r="AA2070" s="295"/>
      <c r="AB2070" s="295"/>
      <c r="AC2070" s="295"/>
      <c r="AD2070" s="295"/>
      <c r="AE2070" s="295"/>
      <c r="AF2070" s="295"/>
      <c r="AG2070" s="295"/>
      <c r="AH2070" s="295"/>
      <c r="AI2070" s="295"/>
      <c r="AJ2070" s="295"/>
    </row>
    <row r="2071" spans="1:36" s="291" customFormat="1" ht="16.2">
      <c r="A2071" s="304"/>
      <c r="B2071" s="289"/>
      <c r="C2071" s="290"/>
      <c r="E2071" s="453"/>
      <c r="G2071" s="454"/>
      <c r="I2071" s="295"/>
      <c r="J2071" s="295"/>
      <c r="K2071" s="295"/>
      <c r="L2071" s="295"/>
      <c r="M2071" s="302"/>
      <c r="N2071" s="302"/>
      <c r="O2071" s="303"/>
      <c r="P2071" s="295"/>
      <c r="Q2071" s="295"/>
      <c r="R2071" s="295"/>
      <c r="S2071" s="295"/>
      <c r="T2071" s="295"/>
      <c r="U2071" s="295"/>
      <c r="V2071" s="295"/>
      <c r="W2071" s="295"/>
      <c r="X2071" s="295"/>
      <c r="Y2071" s="295"/>
      <c r="Z2071" s="295"/>
      <c r="AA2071" s="295"/>
      <c r="AB2071" s="295"/>
      <c r="AC2071" s="295"/>
      <c r="AD2071" s="295"/>
      <c r="AE2071" s="295"/>
      <c r="AF2071" s="295"/>
      <c r="AG2071" s="295"/>
      <c r="AH2071" s="295"/>
      <c r="AI2071" s="295"/>
      <c r="AJ2071" s="295"/>
    </row>
    <row r="2072" spans="1:36" s="291" customFormat="1" ht="16.2">
      <c r="A2072" s="304"/>
      <c r="B2072" s="289"/>
      <c r="C2072" s="290"/>
      <c r="E2072" s="453"/>
      <c r="G2072" s="454"/>
      <c r="I2072" s="295"/>
      <c r="J2072" s="295"/>
      <c r="K2072" s="295"/>
      <c r="L2072" s="295"/>
      <c r="M2072" s="302"/>
      <c r="N2072" s="302"/>
      <c r="O2072" s="303"/>
      <c r="P2072" s="295"/>
      <c r="Q2072" s="295"/>
      <c r="R2072" s="295"/>
      <c r="S2072" s="295"/>
      <c r="T2072" s="295"/>
      <c r="U2072" s="295"/>
      <c r="V2072" s="295"/>
      <c r="W2072" s="295"/>
      <c r="X2072" s="295"/>
      <c r="Y2072" s="295"/>
      <c r="Z2072" s="295"/>
      <c r="AA2072" s="295"/>
      <c r="AB2072" s="295"/>
      <c r="AC2072" s="295"/>
      <c r="AD2072" s="295"/>
      <c r="AE2072" s="295"/>
      <c r="AF2072" s="295"/>
      <c r="AG2072" s="295"/>
      <c r="AH2072" s="295"/>
      <c r="AI2072" s="295"/>
      <c r="AJ2072" s="295"/>
    </row>
    <row r="2073" spans="1:36" s="291" customFormat="1" ht="16.2">
      <c r="A2073" s="304"/>
      <c r="B2073" s="289"/>
      <c r="C2073" s="290"/>
      <c r="E2073" s="453"/>
      <c r="G2073" s="454"/>
      <c r="I2073" s="295"/>
      <c r="J2073" s="295"/>
      <c r="K2073" s="295"/>
      <c r="L2073" s="295"/>
      <c r="M2073" s="302"/>
      <c r="N2073" s="302"/>
      <c r="O2073" s="303"/>
      <c r="P2073" s="295"/>
      <c r="Q2073" s="295"/>
      <c r="R2073" s="295"/>
      <c r="S2073" s="295"/>
      <c r="T2073" s="295"/>
      <c r="U2073" s="295"/>
      <c r="V2073" s="295"/>
      <c r="W2073" s="295"/>
      <c r="X2073" s="295"/>
      <c r="Y2073" s="295"/>
      <c r="Z2073" s="295"/>
      <c r="AA2073" s="295"/>
      <c r="AB2073" s="295"/>
      <c r="AC2073" s="295"/>
      <c r="AD2073" s="295"/>
      <c r="AE2073" s="295"/>
      <c r="AF2073" s="295"/>
      <c r="AG2073" s="295"/>
      <c r="AH2073" s="295"/>
      <c r="AI2073" s="295"/>
      <c r="AJ2073" s="295"/>
    </row>
    <row r="2074" spans="1:36" s="291" customFormat="1" ht="16.2">
      <c r="A2074" s="304"/>
      <c r="B2074" s="289"/>
      <c r="C2074" s="290"/>
      <c r="E2074" s="453"/>
      <c r="G2074" s="454"/>
      <c r="I2074" s="295"/>
      <c r="J2074" s="295"/>
      <c r="K2074" s="295"/>
      <c r="L2074" s="295"/>
      <c r="M2074" s="302"/>
      <c r="N2074" s="302"/>
      <c r="O2074" s="303"/>
      <c r="P2074" s="295"/>
      <c r="Q2074" s="295"/>
      <c r="R2074" s="295"/>
      <c r="S2074" s="295"/>
      <c r="T2074" s="295"/>
      <c r="U2074" s="295"/>
      <c r="V2074" s="295"/>
      <c r="W2074" s="295"/>
      <c r="X2074" s="295"/>
      <c r="Y2074" s="295"/>
      <c r="Z2074" s="295"/>
      <c r="AA2074" s="295"/>
      <c r="AB2074" s="295"/>
      <c r="AC2074" s="295"/>
      <c r="AD2074" s="295"/>
      <c r="AE2074" s="295"/>
      <c r="AF2074" s="295"/>
      <c r="AG2074" s="295"/>
      <c r="AH2074" s="295"/>
      <c r="AI2074" s="295"/>
      <c r="AJ2074" s="295"/>
    </row>
    <row r="2075" spans="1:36" s="291" customFormat="1" ht="16.2">
      <c r="A2075" s="304"/>
      <c r="B2075" s="289"/>
      <c r="C2075" s="290"/>
      <c r="E2075" s="453"/>
      <c r="G2075" s="454"/>
      <c r="I2075" s="295"/>
      <c r="J2075" s="295"/>
      <c r="K2075" s="295"/>
      <c r="L2075" s="295"/>
      <c r="M2075" s="302"/>
      <c r="N2075" s="302"/>
      <c r="O2075" s="303"/>
      <c r="P2075" s="295"/>
      <c r="Q2075" s="295"/>
      <c r="R2075" s="295"/>
      <c r="S2075" s="295"/>
      <c r="T2075" s="295"/>
      <c r="U2075" s="295"/>
      <c r="V2075" s="295"/>
      <c r="W2075" s="295"/>
      <c r="X2075" s="295"/>
      <c r="Y2075" s="295"/>
      <c r="Z2075" s="295"/>
      <c r="AA2075" s="295"/>
      <c r="AB2075" s="295"/>
      <c r="AC2075" s="295"/>
      <c r="AD2075" s="295"/>
      <c r="AE2075" s="295"/>
      <c r="AF2075" s="295"/>
      <c r="AG2075" s="295"/>
      <c r="AH2075" s="295"/>
      <c r="AI2075" s="295"/>
      <c r="AJ2075" s="295"/>
    </row>
    <row r="2076" spans="1:36" s="291" customFormat="1" ht="16.2">
      <c r="A2076" s="304"/>
      <c r="B2076" s="289"/>
      <c r="C2076" s="290"/>
      <c r="E2076" s="453"/>
      <c r="G2076" s="454"/>
      <c r="I2076" s="295"/>
      <c r="J2076" s="295"/>
      <c r="K2076" s="295"/>
      <c r="L2076" s="295"/>
      <c r="M2076" s="302"/>
      <c r="N2076" s="302"/>
      <c r="O2076" s="303"/>
      <c r="P2076" s="295"/>
      <c r="Q2076" s="295"/>
      <c r="R2076" s="295"/>
      <c r="S2076" s="295"/>
      <c r="T2076" s="295"/>
      <c r="U2076" s="295"/>
      <c r="V2076" s="295"/>
      <c r="W2076" s="295"/>
      <c r="X2076" s="295"/>
      <c r="Y2076" s="295"/>
      <c r="Z2076" s="295"/>
      <c r="AA2076" s="295"/>
      <c r="AB2076" s="295"/>
      <c r="AC2076" s="295"/>
      <c r="AD2076" s="295"/>
      <c r="AE2076" s="295"/>
      <c r="AF2076" s="295"/>
      <c r="AG2076" s="295"/>
      <c r="AH2076" s="295"/>
      <c r="AI2076" s="295"/>
      <c r="AJ2076" s="295"/>
    </row>
    <row r="2077" spans="1:36" s="291" customFormat="1" ht="16.2">
      <c r="A2077" s="304"/>
      <c r="B2077" s="289"/>
      <c r="C2077" s="290"/>
      <c r="E2077" s="453"/>
      <c r="G2077" s="454"/>
      <c r="I2077" s="295"/>
      <c r="J2077" s="295"/>
      <c r="K2077" s="295"/>
      <c r="L2077" s="295"/>
      <c r="M2077" s="302"/>
      <c r="N2077" s="302"/>
      <c r="O2077" s="303"/>
      <c r="P2077" s="295"/>
      <c r="Q2077" s="295"/>
      <c r="R2077" s="295"/>
      <c r="S2077" s="295"/>
      <c r="T2077" s="295"/>
      <c r="U2077" s="295"/>
      <c r="V2077" s="295"/>
      <c r="W2077" s="295"/>
      <c r="X2077" s="295"/>
      <c r="Y2077" s="295"/>
      <c r="Z2077" s="295"/>
      <c r="AA2077" s="295"/>
      <c r="AB2077" s="295"/>
      <c r="AC2077" s="295"/>
      <c r="AD2077" s="295"/>
      <c r="AE2077" s="295"/>
      <c r="AF2077" s="295"/>
      <c r="AG2077" s="295"/>
      <c r="AH2077" s="295"/>
      <c r="AI2077" s="295"/>
      <c r="AJ2077" s="295"/>
    </row>
    <row r="2078" spans="1:36" s="291" customFormat="1" ht="16.2">
      <c r="A2078" s="304"/>
      <c r="B2078" s="289"/>
      <c r="C2078" s="290"/>
      <c r="E2078" s="453"/>
      <c r="G2078" s="454"/>
      <c r="I2078" s="295"/>
      <c r="J2078" s="295"/>
      <c r="K2078" s="295"/>
      <c r="L2078" s="295"/>
      <c r="M2078" s="302"/>
      <c r="N2078" s="302"/>
      <c r="O2078" s="303"/>
      <c r="P2078" s="295"/>
      <c r="Q2078" s="295"/>
      <c r="R2078" s="295"/>
      <c r="S2078" s="295"/>
      <c r="T2078" s="295"/>
      <c r="U2078" s="295"/>
      <c r="V2078" s="295"/>
      <c r="W2078" s="295"/>
      <c r="X2078" s="295"/>
      <c r="Y2078" s="295"/>
      <c r="Z2078" s="295"/>
      <c r="AA2078" s="295"/>
      <c r="AB2078" s="295"/>
      <c r="AC2078" s="295"/>
      <c r="AD2078" s="295"/>
      <c r="AE2078" s="295"/>
      <c r="AF2078" s="295"/>
      <c r="AG2078" s="295"/>
      <c r="AH2078" s="295"/>
      <c r="AI2078" s="295"/>
      <c r="AJ2078" s="295"/>
    </row>
    <row r="2079" spans="1:36" s="291" customFormat="1" ht="16.2">
      <c r="A2079" s="304"/>
      <c r="B2079" s="289"/>
      <c r="C2079" s="290"/>
      <c r="E2079" s="453"/>
      <c r="G2079" s="454"/>
      <c r="I2079" s="295"/>
      <c r="J2079" s="295"/>
      <c r="K2079" s="295"/>
      <c r="L2079" s="295"/>
      <c r="M2079" s="302"/>
      <c r="N2079" s="302"/>
      <c r="O2079" s="303"/>
      <c r="P2079" s="295"/>
      <c r="Q2079" s="295"/>
      <c r="R2079" s="295"/>
      <c r="S2079" s="295"/>
      <c r="T2079" s="295"/>
      <c r="U2079" s="295"/>
      <c r="V2079" s="295"/>
      <c r="W2079" s="295"/>
      <c r="X2079" s="295"/>
      <c r="Y2079" s="295"/>
      <c r="Z2079" s="295"/>
      <c r="AA2079" s="295"/>
      <c r="AB2079" s="295"/>
      <c r="AC2079" s="295"/>
      <c r="AD2079" s="295"/>
      <c r="AE2079" s="295"/>
      <c r="AF2079" s="295"/>
      <c r="AG2079" s="295"/>
      <c r="AH2079" s="295"/>
      <c r="AI2079" s="295"/>
      <c r="AJ2079" s="295"/>
    </row>
    <row r="2080" spans="1:36" s="291" customFormat="1" ht="16.2">
      <c r="A2080" s="304"/>
      <c r="B2080" s="289"/>
      <c r="C2080" s="290"/>
      <c r="E2080" s="453"/>
      <c r="G2080" s="454"/>
      <c r="I2080" s="295"/>
      <c r="J2080" s="295"/>
      <c r="K2080" s="295"/>
      <c r="L2080" s="295"/>
      <c r="M2080" s="302"/>
      <c r="N2080" s="302"/>
      <c r="O2080" s="303"/>
      <c r="P2080" s="295"/>
      <c r="Q2080" s="295"/>
      <c r="R2080" s="295"/>
      <c r="S2080" s="295"/>
      <c r="T2080" s="295"/>
      <c r="U2080" s="295"/>
      <c r="V2080" s="295"/>
      <c r="W2080" s="295"/>
      <c r="X2080" s="295"/>
      <c r="Y2080" s="295"/>
      <c r="Z2080" s="295"/>
      <c r="AA2080" s="295"/>
      <c r="AB2080" s="295"/>
      <c r="AC2080" s="295"/>
      <c r="AD2080" s="295"/>
      <c r="AE2080" s="295"/>
      <c r="AF2080" s="295"/>
      <c r="AG2080" s="295"/>
      <c r="AH2080" s="295"/>
      <c r="AI2080" s="295"/>
      <c r="AJ2080" s="295"/>
    </row>
    <row r="2081" spans="1:36" s="291" customFormat="1" ht="16.2">
      <c r="A2081" s="304"/>
      <c r="B2081" s="289"/>
      <c r="C2081" s="290"/>
      <c r="E2081" s="453"/>
      <c r="G2081" s="454"/>
      <c r="I2081" s="295"/>
      <c r="J2081" s="295"/>
      <c r="K2081" s="295"/>
      <c r="L2081" s="295"/>
      <c r="M2081" s="302"/>
      <c r="N2081" s="302"/>
      <c r="O2081" s="303"/>
      <c r="P2081" s="295"/>
      <c r="Q2081" s="295"/>
      <c r="R2081" s="295"/>
      <c r="S2081" s="295"/>
      <c r="T2081" s="295"/>
      <c r="U2081" s="295"/>
      <c r="V2081" s="295"/>
      <c r="W2081" s="295"/>
      <c r="X2081" s="295"/>
      <c r="Y2081" s="295"/>
      <c r="Z2081" s="295"/>
      <c r="AA2081" s="295"/>
      <c r="AB2081" s="295"/>
      <c r="AC2081" s="295"/>
      <c r="AD2081" s="295"/>
      <c r="AE2081" s="295"/>
      <c r="AF2081" s="295"/>
      <c r="AG2081" s="295"/>
      <c r="AH2081" s="295"/>
      <c r="AI2081" s="295"/>
      <c r="AJ2081" s="295"/>
    </row>
    <row r="2082" spans="1:36" s="291" customFormat="1" ht="16.2">
      <c r="A2082" s="304"/>
      <c r="B2082" s="289"/>
      <c r="C2082" s="290"/>
      <c r="E2082" s="453"/>
      <c r="G2082" s="454"/>
      <c r="I2082" s="295"/>
      <c r="J2082" s="295"/>
      <c r="K2082" s="295"/>
      <c r="L2082" s="295"/>
      <c r="M2082" s="302"/>
      <c r="N2082" s="302"/>
      <c r="O2082" s="303"/>
      <c r="P2082" s="295"/>
      <c r="Q2082" s="295"/>
      <c r="R2082" s="295"/>
      <c r="S2082" s="295"/>
      <c r="T2082" s="295"/>
      <c r="U2082" s="295"/>
      <c r="V2082" s="295"/>
      <c r="W2082" s="295"/>
      <c r="X2082" s="295"/>
      <c r="Y2082" s="295"/>
      <c r="Z2082" s="295"/>
      <c r="AA2082" s="295"/>
      <c r="AB2082" s="295"/>
      <c r="AC2082" s="295"/>
      <c r="AD2082" s="295"/>
      <c r="AE2082" s="295"/>
      <c r="AF2082" s="295"/>
      <c r="AG2082" s="295"/>
      <c r="AH2082" s="295"/>
      <c r="AI2082" s="295"/>
      <c r="AJ2082" s="295"/>
    </row>
    <row r="2083" spans="1:36" s="291" customFormat="1" ht="16.2">
      <c r="A2083" s="304"/>
      <c r="B2083" s="289"/>
      <c r="C2083" s="290"/>
      <c r="E2083" s="453"/>
      <c r="G2083" s="454"/>
      <c r="I2083" s="295"/>
      <c r="J2083" s="295"/>
      <c r="K2083" s="295"/>
      <c r="L2083" s="295"/>
      <c r="M2083" s="302"/>
      <c r="N2083" s="302"/>
      <c r="O2083" s="303"/>
      <c r="P2083" s="295"/>
      <c r="Q2083" s="295"/>
      <c r="R2083" s="295"/>
      <c r="S2083" s="295"/>
      <c r="T2083" s="295"/>
      <c r="U2083" s="295"/>
      <c r="V2083" s="295"/>
      <c r="W2083" s="295"/>
      <c r="X2083" s="295"/>
      <c r="Y2083" s="295"/>
      <c r="Z2083" s="295"/>
      <c r="AA2083" s="295"/>
      <c r="AB2083" s="295"/>
      <c r="AC2083" s="295"/>
      <c r="AD2083" s="295"/>
      <c r="AE2083" s="295"/>
      <c r="AF2083" s="295"/>
      <c r="AG2083" s="295"/>
      <c r="AH2083" s="295"/>
      <c r="AI2083" s="295"/>
      <c r="AJ2083" s="295"/>
    </row>
    <row r="2084" spans="1:36" s="291" customFormat="1" ht="16.2">
      <c r="A2084" s="304"/>
      <c r="B2084" s="289"/>
      <c r="C2084" s="290"/>
      <c r="E2084" s="453"/>
      <c r="G2084" s="454"/>
      <c r="I2084" s="295"/>
      <c r="J2084" s="295"/>
      <c r="K2084" s="295"/>
      <c r="L2084" s="295"/>
      <c r="M2084" s="302"/>
      <c r="N2084" s="302"/>
      <c r="O2084" s="303"/>
      <c r="P2084" s="295"/>
      <c r="Q2084" s="295"/>
      <c r="R2084" s="295"/>
      <c r="S2084" s="295"/>
      <c r="T2084" s="295"/>
      <c r="U2084" s="295"/>
      <c r="V2084" s="295"/>
      <c r="W2084" s="295"/>
      <c r="X2084" s="295"/>
      <c r="Y2084" s="295"/>
      <c r="Z2084" s="295"/>
      <c r="AA2084" s="295"/>
      <c r="AB2084" s="295"/>
      <c r="AC2084" s="295"/>
      <c r="AD2084" s="295"/>
      <c r="AE2084" s="295"/>
      <c r="AF2084" s="295"/>
      <c r="AG2084" s="295"/>
      <c r="AH2084" s="295"/>
      <c r="AI2084" s="295"/>
      <c r="AJ2084" s="295"/>
    </row>
    <row r="2085" spans="1:36" s="291" customFormat="1" ht="16.2">
      <c r="A2085" s="304"/>
      <c r="B2085" s="289"/>
      <c r="C2085" s="290"/>
      <c r="E2085" s="453"/>
      <c r="G2085" s="454"/>
      <c r="I2085" s="295"/>
      <c r="J2085" s="295"/>
      <c r="K2085" s="295"/>
      <c r="L2085" s="295"/>
      <c r="M2085" s="302"/>
      <c r="N2085" s="302"/>
      <c r="O2085" s="303"/>
      <c r="P2085" s="295"/>
      <c r="Q2085" s="295"/>
      <c r="R2085" s="295"/>
      <c r="S2085" s="295"/>
      <c r="T2085" s="295"/>
      <c r="U2085" s="295"/>
      <c r="V2085" s="295"/>
      <c r="W2085" s="295"/>
      <c r="X2085" s="295"/>
      <c r="Y2085" s="295"/>
      <c r="Z2085" s="295"/>
      <c r="AA2085" s="295"/>
      <c r="AB2085" s="295"/>
      <c r="AC2085" s="295"/>
      <c r="AD2085" s="295"/>
      <c r="AE2085" s="295"/>
      <c r="AF2085" s="295"/>
      <c r="AG2085" s="295"/>
      <c r="AH2085" s="295"/>
      <c r="AI2085" s="295"/>
      <c r="AJ2085" s="295"/>
    </row>
    <row r="2086" spans="1:36" s="291" customFormat="1" ht="16.2">
      <c r="A2086" s="304"/>
      <c r="B2086" s="289"/>
      <c r="C2086" s="290"/>
      <c r="E2086" s="453"/>
      <c r="G2086" s="454"/>
      <c r="I2086" s="295"/>
      <c r="J2086" s="295"/>
      <c r="K2086" s="295"/>
      <c r="L2086" s="295"/>
      <c r="M2086" s="302"/>
      <c r="N2086" s="302"/>
      <c r="O2086" s="303"/>
      <c r="P2086" s="295"/>
      <c r="Q2086" s="295"/>
      <c r="R2086" s="295"/>
      <c r="S2086" s="295"/>
      <c r="T2086" s="295"/>
      <c r="U2086" s="295"/>
      <c r="V2086" s="295"/>
      <c r="W2086" s="295"/>
      <c r="X2086" s="295"/>
      <c r="Y2086" s="295"/>
      <c r="Z2086" s="295"/>
      <c r="AA2086" s="295"/>
      <c r="AB2086" s="295"/>
      <c r="AC2086" s="295"/>
      <c r="AD2086" s="295"/>
      <c r="AE2086" s="295"/>
      <c r="AF2086" s="295"/>
      <c r="AG2086" s="295"/>
      <c r="AH2086" s="295"/>
      <c r="AI2086" s="295"/>
      <c r="AJ2086" s="295"/>
    </row>
    <row r="2087" spans="1:36" s="291" customFormat="1" ht="16.2">
      <c r="A2087" s="304"/>
      <c r="B2087" s="289"/>
      <c r="C2087" s="290"/>
      <c r="E2087" s="453"/>
      <c r="G2087" s="454"/>
      <c r="I2087" s="295"/>
      <c r="J2087" s="295"/>
      <c r="K2087" s="295"/>
      <c r="L2087" s="295"/>
      <c r="M2087" s="302"/>
      <c r="N2087" s="302"/>
      <c r="O2087" s="303"/>
      <c r="P2087" s="295"/>
      <c r="Q2087" s="295"/>
      <c r="R2087" s="295"/>
      <c r="S2087" s="295"/>
      <c r="T2087" s="295"/>
      <c r="U2087" s="295"/>
      <c r="V2087" s="295"/>
      <c r="W2087" s="295"/>
      <c r="X2087" s="295"/>
      <c r="Y2087" s="295"/>
      <c r="Z2087" s="295"/>
      <c r="AA2087" s="295"/>
      <c r="AB2087" s="295"/>
      <c r="AC2087" s="295"/>
      <c r="AD2087" s="295"/>
      <c r="AE2087" s="295"/>
      <c r="AF2087" s="295"/>
      <c r="AG2087" s="295"/>
      <c r="AH2087" s="295"/>
      <c r="AI2087" s="295"/>
      <c r="AJ2087" s="295"/>
    </row>
    <row r="2088" spans="1:36" s="291" customFormat="1" ht="16.2">
      <c r="A2088" s="304"/>
      <c r="B2088" s="289"/>
      <c r="C2088" s="290"/>
      <c r="E2088" s="453"/>
      <c r="G2088" s="454"/>
      <c r="I2088" s="295"/>
      <c r="J2088" s="295"/>
      <c r="K2088" s="295"/>
      <c r="L2088" s="295"/>
      <c r="M2088" s="302"/>
      <c r="N2088" s="302"/>
      <c r="O2088" s="303"/>
      <c r="P2088" s="295"/>
      <c r="Q2088" s="295"/>
      <c r="R2088" s="295"/>
      <c r="S2088" s="295"/>
      <c r="T2088" s="295"/>
      <c r="U2088" s="295"/>
      <c r="V2088" s="295"/>
      <c r="W2088" s="295"/>
      <c r="X2088" s="295"/>
      <c r="Y2088" s="295"/>
      <c r="Z2088" s="295"/>
      <c r="AA2088" s="295"/>
      <c r="AB2088" s="295"/>
      <c r="AC2088" s="295"/>
      <c r="AD2088" s="295"/>
      <c r="AE2088" s="295"/>
      <c r="AF2088" s="295"/>
      <c r="AG2088" s="295"/>
      <c r="AH2088" s="295"/>
      <c r="AI2088" s="295"/>
      <c r="AJ2088" s="295"/>
    </row>
    <row r="2089" spans="1:36" s="291" customFormat="1" ht="16.2">
      <c r="A2089" s="304"/>
      <c r="B2089" s="289"/>
      <c r="C2089" s="290"/>
      <c r="E2089" s="453"/>
      <c r="G2089" s="454"/>
      <c r="I2089" s="295"/>
      <c r="J2089" s="295"/>
      <c r="K2089" s="295"/>
      <c r="L2089" s="295"/>
      <c r="M2089" s="302"/>
      <c r="N2089" s="302"/>
      <c r="O2089" s="303"/>
      <c r="P2089" s="295"/>
      <c r="Q2089" s="295"/>
      <c r="R2089" s="295"/>
      <c r="S2089" s="295"/>
      <c r="T2089" s="295"/>
      <c r="U2089" s="295"/>
      <c r="V2089" s="295"/>
      <c r="W2089" s="295"/>
      <c r="X2089" s="295"/>
      <c r="Y2089" s="295"/>
      <c r="Z2089" s="295"/>
      <c r="AA2089" s="295"/>
      <c r="AB2089" s="295"/>
      <c r="AC2089" s="295"/>
      <c r="AD2089" s="295"/>
      <c r="AE2089" s="295"/>
      <c r="AF2089" s="295"/>
      <c r="AG2089" s="295"/>
      <c r="AH2089" s="295"/>
      <c r="AI2089" s="295"/>
      <c r="AJ2089" s="295"/>
    </row>
    <row r="2090" spans="1:36" s="291" customFormat="1" ht="16.2">
      <c r="A2090" s="304"/>
      <c r="B2090" s="289"/>
      <c r="C2090" s="290"/>
      <c r="E2090" s="453"/>
      <c r="G2090" s="454"/>
      <c r="I2090" s="295"/>
      <c r="J2090" s="295"/>
      <c r="K2090" s="295"/>
      <c r="L2090" s="295"/>
      <c r="M2090" s="302"/>
      <c r="N2090" s="302"/>
      <c r="O2090" s="303"/>
      <c r="P2090" s="295"/>
      <c r="Q2090" s="295"/>
      <c r="R2090" s="295"/>
      <c r="S2090" s="295"/>
      <c r="T2090" s="295"/>
      <c r="U2090" s="295"/>
      <c r="V2090" s="295"/>
      <c r="W2090" s="295"/>
      <c r="X2090" s="295"/>
      <c r="Y2090" s="295"/>
      <c r="Z2090" s="295"/>
      <c r="AA2090" s="295"/>
      <c r="AB2090" s="295"/>
      <c r="AC2090" s="295"/>
      <c r="AD2090" s="295"/>
      <c r="AE2090" s="295"/>
      <c r="AF2090" s="295"/>
      <c r="AG2090" s="295"/>
      <c r="AH2090" s="295"/>
      <c r="AI2090" s="295"/>
      <c r="AJ2090" s="295"/>
    </row>
    <row r="2091" spans="1:36" s="291" customFormat="1" ht="16.2">
      <c r="A2091" s="304"/>
      <c r="B2091" s="289"/>
      <c r="C2091" s="290"/>
      <c r="E2091" s="453"/>
      <c r="G2091" s="454"/>
      <c r="I2091" s="295"/>
      <c r="J2091" s="295"/>
      <c r="K2091" s="295"/>
      <c r="L2091" s="295"/>
      <c r="M2091" s="302"/>
      <c r="N2091" s="302"/>
      <c r="O2091" s="303"/>
      <c r="P2091" s="295"/>
      <c r="Q2091" s="295"/>
      <c r="R2091" s="295"/>
      <c r="S2091" s="295"/>
      <c r="T2091" s="295"/>
      <c r="U2091" s="295"/>
      <c r="V2091" s="295"/>
      <c r="W2091" s="295"/>
      <c r="X2091" s="295"/>
      <c r="Y2091" s="295"/>
      <c r="Z2091" s="295"/>
      <c r="AA2091" s="295"/>
      <c r="AB2091" s="295"/>
      <c r="AC2091" s="295"/>
      <c r="AD2091" s="295"/>
      <c r="AE2091" s="295"/>
      <c r="AF2091" s="295"/>
      <c r="AG2091" s="295"/>
      <c r="AH2091" s="295"/>
      <c r="AI2091" s="295"/>
      <c r="AJ2091" s="295"/>
    </row>
    <row r="2092" spans="1:36" s="291" customFormat="1" ht="16.2">
      <c r="A2092" s="304"/>
      <c r="B2092" s="289"/>
      <c r="C2092" s="290"/>
      <c r="E2092" s="453"/>
      <c r="G2092" s="454"/>
      <c r="I2092" s="295"/>
      <c r="J2092" s="295"/>
      <c r="K2092" s="295"/>
      <c r="L2092" s="295"/>
      <c r="M2092" s="302"/>
      <c r="N2092" s="302"/>
      <c r="O2092" s="303"/>
      <c r="P2092" s="295"/>
      <c r="Q2092" s="295"/>
      <c r="R2092" s="295"/>
      <c r="S2092" s="295"/>
      <c r="T2092" s="295"/>
      <c r="U2092" s="295"/>
      <c r="V2092" s="295"/>
      <c r="W2092" s="295"/>
      <c r="X2092" s="295"/>
      <c r="Y2092" s="295"/>
      <c r="Z2092" s="295"/>
      <c r="AA2092" s="295"/>
      <c r="AB2092" s="295"/>
      <c r="AC2092" s="295"/>
      <c r="AD2092" s="295"/>
      <c r="AE2092" s="295"/>
      <c r="AF2092" s="295"/>
      <c r="AG2092" s="295"/>
      <c r="AH2092" s="295"/>
      <c r="AI2092" s="295"/>
      <c r="AJ2092" s="295"/>
    </row>
    <row r="2093" spans="1:36" s="291" customFormat="1" ht="16.2">
      <c r="A2093" s="304"/>
      <c r="B2093" s="289"/>
      <c r="C2093" s="290"/>
      <c r="E2093" s="453"/>
      <c r="G2093" s="454"/>
      <c r="I2093" s="295"/>
      <c r="J2093" s="295"/>
      <c r="K2093" s="295"/>
      <c r="L2093" s="295"/>
      <c r="M2093" s="302"/>
      <c r="N2093" s="302"/>
      <c r="O2093" s="303"/>
      <c r="P2093" s="295"/>
      <c r="Q2093" s="295"/>
      <c r="R2093" s="295"/>
      <c r="S2093" s="295"/>
      <c r="T2093" s="295"/>
      <c r="U2093" s="295"/>
      <c r="V2093" s="295"/>
      <c r="W2093" s="295"/>
      <c r="X2093" s="295"/>
      <c r="Y2093" s="295"/>
      <c r="Z2093" s="295"/>
      <c r="AA2093" s="295"/>
      <c r="AB2093" s="295"/>
      <c r="AC2093" s="295"/>
      <c r="AD2093" s="295"/>
      <c r="AE2093" s="295"/>
      <c r="AF2093" s="295"/>
      <c r="AG2093" s="295"/>
      <c r="AH2093" s="295"/>
      <c r="AI2093" s="295"/>
      <c r="AJ2093" s="295"/>
    </row>
    <row r="2094" spans="1:36" s="291" customFormat="1" ht="16.2">
      <c r="A2094" s="304"/>
      <c r="B2094" s="289"/>
      <c r="C2094" s="290"/>
      <c r="E2094" s="453"/>
      <c r="G2094" s="454"/>
      <c r="I2094" s="295"/>
      <c r="J2094" s="295"/>
      <c r="K2094" s="295"/>
      <c r="L2094" s="295"/>
      <c r="M2094" s="302"/>
      <c r="N2094" s="302"/>
      <c r="O2094" s="303"/>
      <c r="P2094" s="295"/>
      <c r="Q2094" s="295"/>
      <c r="R2094" s="295"/>
      <c r="S2094" s="295"/>
      <c r="T2094" s="295"/>
      <c r="U2094" s="295"/>
      <c r="V2094" s="295"/>
      <c r="W2094" s="295"/>
      <c r="X2094" s="295"/>
      <c r="Y2094" s="295"/>
      <c r="Z2094" s="295"/>
      <c r="AA2094" s="295"/>
      <c r="AB2094" s="295"/>
      <c r="AC2094" s="295"/>
      <c r="AD2094" s="295"/>
      <c r="AE2094" s="295"/>
      <c r="AF2094" s="295"/>
      <c r="AG2094" s="295"/>
      <c r="AH2094" s="295"/>
      <c r="AI2094" s="295"/>
      <c r="AJ2094" s="295"/>
    </row>
    <row r="2095" spans="1:36" s="291" customFormat="1" ht="16.2">
      <c r="A2095" s="304"/>
      <c r="B2095" s="289"/>
      <c r="C2095" s="290"/>
      <c r="E2095" s="453"/>
      <c r="G2095" s="454"/>
      <c r="I2095" s="295"/>
      <c r="J2095" s="295"/>
      <c r="K2095" s="295"/>
      <c r="L2095" s="295"/>
      <c r="M2095" s="302"/>
      <c r="N2095" s="302"/>
      <c r="O2095" s="303"/>
      <c r="P2095" s="295"/>
      <c r="Q2095" s="295"/>
      <c r="R2095" s="295"/>
      <c r="S2095" s="295"/>
      <c r="T2095" s="295"/>
      <c r="U2095" s="295"/>
      <c r="V2095" s="295"/>
      <c r="W2095" s="295"/>
      <c r="X2095" s="295"/>
      <c r="Y2095" s="295"/>
      <c r="Z2095" s="295"/>
      <c r="AA2095" s="295"/>
      <c r="AB2095" s="295"/>
      <c r="AC2095" s="295"/>
      <c r="AD2095" s="295"/>
      <c r="AE2095" s="295"/>
      <c r="AF2095" s="295"/>
      <c r="AG2095" s="295"/>
      <c r="AH2095" s="295"/>
      <c r="AI2095" s="295"/>
      <c r="AJ2095" s="295"/>
    </row>
    <row r="2096" spans="1:36" s="291" customFormat="1" ht="16.2">
      <c r="A2096" s="304"/>
      <c r="B2096" s="289"/>
      <c r="C2096" s="290"/>
      <c r="E2096" s="453"/>
      <c r="G2096" s="454"/>
      <c r="I2096" s="295"/>
      <c r="J2096" s="295"/>
      <c r="K2096" s="295"/>
      <c r="L2096" s="295"/>
      <c r="M2096" s="302"/>
      <c r="N2096" s="302"/>
      <c r="O2096" s="303"/>
      <c r="P2096" s="295"/>
      <c r="Q2096" s="295"/>
      <c r="R2096" s="295"/>
      <c r="S2096" s="295"/>
      <c r="T2096" s="295"/>
      <c r="U2096" s="295"/>
      <c r="V2096" s="295"/>
      <c r="W2096" s="295"/>
      <c r="X2096" s="295"/>
      <c r="Y2096" s="295"/>
      <c r="Z2096" s="295"/>
      <c r="AA2096" s="295"/>
      <c r="AB2096" s="295"/>
      <c r="AC2096" s="295"/>
      <c r="AD2096" s="295"/>
      <c r="AE2096" s="295"/>
      <c r="AF2096" s="295"/>
      <c r="AG2096" s="295"/>
      <c r="AH2096" s="295"/>
      <c r="AI2096" s="295"/>
      <c r="AJ2096" s="295"/>
    </row>
    <row r="2097" spans="1:36" s="291" customFormat="1" ht="16.2">
      <c r="A2097" s="304"/>
      <c r="B2097" s="289"/>
      <c r="C2097" s="290"/>
      <c r="E2097" s="453"/>
      <c r="G2097" s="454"/>
      <c r="I2097" s="295"/>
      <c r="J2097" s="295"/>
      <c r="K2097" s="295"/>
      <c r="L2097" s="295"/>
      <c r="M2097" s="302"/>
      <c r="N2097" s="302"/>
      <c r="O2097" s="303"/>
      <c r="P2097" s="295"/>
      <c r="Q2097" s="295"/>
      <c r="R2097" s="295"/>
      <c r="S2097" s="295"/>
      <c r="T2097" s="295"/>
      <c r="U2097" s="295"/>
      <c r="V2097" s="295"/>
      <c r="W2097" s="295"/>
      <c r="X2097" s="295"/>
      <c r="Y2097" s="295"/>
      <c r="Z2097" s="295"/>
      <c r="AA2097" s="295"/>
      <c r="AB2097" s="295"/>
      <c r="AC2097" s="295"/>
      <c r="AD2097" s="295"/>
      <c r="AE2097" s="295"/>
      <c r="AF2097" s="295"/>
      <c r="AG2097" s="295"/>
      <c r="AH2097" s="295"/>
      <c r="AI2097" s="295"/>
      <c r="AJ2097" s="295"/>
    </row>
    <row r="2098" spans="1:36" s="291" customFormat="1" ht="16.2">
      <c r="A2098" s="304"/>
      <c r="B2098" s="289"/>
      <c r="C2098" s="290"/>
      <c r="E2098" s="453"/>
      <c r="G2098" s="454"/>
      <c r="I2098" s="295"/>
      <c r="J2098" s="295"/>
      <c r="K2098" s="295"/>
      <c r="L2098" s="295"/>
      <c r="M2098" s="302"/>
      <c r="N2098" s="302"/>
      <c r="O2098" s="303"/>
      <c r="P2098" s="295"/>
      <c r="Q2098" s="295"/>
      <c r="R2098" s="295"/>
      <c r="S2098" s="295"/>
      <c r="T2098" s="295"/>
      <c r="U2098" s="295"/>
      <c r="V2098" s="295"/>
      <c r="W2098" s="295"/>
      <c r="X2098" s="295"/>
      <c r="Y2098" s="295"/>
      <c r="Z2098" s="295"/>
      <c r="AA2098" s="295"/>
      <c r="AB2098" s="295"/>
      <c r="AC2098" s="295"/>
      <c r="AD2098" s="295"/>
      <c r="AE2098" s="295"/>
      <c r="AF2098" s="295"/>
      <c r="AG2098" s="295"/>
      <c r="AH2098" s="295"/>
      <c r="AI2098" s="295"/>
      <c r="AJ2098" s="295"/>
    </row>
    <row r="2099" spans="1:36" s="291" customFormat="1" ht="16.2">
      <c r="A2099" s="304"/>
      <c r="B2099" s="289"/>
      <c r="C2099" s="290"/>
      <c r="E2099" s="453"/>
      <c r="G2099" s="454"/>
      <c r="I2099" s="295"/>
      <c r="J2099" s="295"/>
      <c r="K2099" s="295"/>
      <c r="L2099" s="295"/>
      <c r="M2099" s="302"/>
      <c r="N2099" s="302"/>
      <c r="O2099" s="303"/>
      <c r="P2099" s="295"/>
      <c r="Q2099" s="295"/>
      <c r="R2099" s="295"/>
      <c r="S2099" s="295"/>
      <c r="T2099" s="295"/>
      <c r="U2099" s="295"/>
      <c r="V2099" s="295"/>
      <c r="W2099" s="295"/>
      <c r="X2099" s="295"/>
      <c r="Y2099" s="295"/>
      <c r="Z2099" s="295"/>
      <c r="AA2099" s="295"/>
      <c r="AB2099" s="295"/>
      <c r="AC2099" s="295"/>
      <c r="AD2099" s="295"/>
      <c r="AE2099" s="295"/>
      <c r="AF2099" s="295"/>
      <c r="AG2099" s="295"/>
      <c r="AH2099" s="295"/>
      <c r="AI2099" s="295"/>
      <c r="AJ2099" s="295"/>
    </row>
    <row r="2100" spans="1:36" s="291" customFormat="1" ht="16.2">
      <c r="A2100" s="304"/>
      <c r="B2100" s="289"/>
      <c r="C2100" s="290"/>
      <c r="E2100" s="453"/>
      <c r="G2100" s="454"/>
      <c r="I2100" s="295"/>
      <c r="J2100" s="295"/>
      <c r="K2100" s="295"/>
      <c r="L2100" s="295"/>
      <c r="M2100" s="302"/>
      <c r="N2100" s="302"/>
      <c r="O2100" s="303"/>
      <c r="P2100" s="295"/>
      <c r="Q2100" s="295"/>
      <c r="R2100" s="295"/>
      <c r="S2100" s="295"/>
      <c r="T2100" s="295"/>
      <c r="U2100" s="295"/>
      <c r="V2100" s="295"/>
      <c r="W2100" s="295"/>
      <c r="X2100" s="295"/>
      <c r="Y2100" s="295"/>
      <c r="Z2100" s="295"/>
      <c r="AA2100" s="295"/>
      <c r="AB2100" s="295"/>
      <c r="AC2100" s="295"/>
      <c r="AD2100" s="295"/>
      <c r="AE2100" s="295"/>
      <c r="AF2100" s="295"/>
      <c r="AG2100" s="295"/>
      <c r="AH2100" s="295"/>
      <c r="AI2100" s="295"/>
      <c r="AJ2100" s="295"/>
    </row>
    <row r="2101" spans="1:36" s="291" customFormat="1" ht="16.2">
      <c r="A2101" s="304"/>
      <c r="B2101" s="289"/>
      <c r="C2101" s="290"/>
      <c r="E2101" s="453"/>
      <c r="G2101" s="454"/>
      <c r="I2101" s="295"/>
      <c r="J2101" s="295"/>
      <c r="K2101" s="295"/>
      <c r="L2101" s="295"/>
      <c r="M2101" s="302"/>
      <c r="N2101" s="302"/>
      <c r="O2101" s="303"/>
      <c r="P2101" s="295"/>
      <c r="Q2101" s="295"/>
      <c r="R2101" s="295"/>
      <c r="S2101" s="295"/>
      <c r="T2101" s="295"/>
      <c r="U2101" s="295"/>
      <c r="V2101" s="295"/>
      <c r="W2101" s="295"/>
      <c r="X2101" s="295"/>
      <c r="Y2101" s="295"/>
      <c r="Z2101" s="295"/>
      <c r="AA2101" s="295"/>
      <c r="AB2101" s="295"/>
      <c r="AC2101" s="295"/>
      <c r="AD2101" s="295"/>
      <c r="AE2101" s="295"/>
      <c r="AF2101" s="295"/>
      <c r="AG2101" s="295"/>
      <c r="AH2101" s="295"/>
      <c r="AI2101" s="295"/>
      <c r="AJ2101" s="295"/>
    </row>
    <row r="2102" spans="1:36" s="291" customFormat="1" ht="16.2">
      <c r="A2102" s="304"/>
      <c r="B2102" s="289"/>
      <c r="C2102" s="290"/>
      <c r="E2102" s="453"/>
      <c r="G2102" s="454"/>
      <c r="I2102" s="295"/>
      <c r="J2102" s="295"/>
      <c r="K2102" s="295"/>
      <c r="L2102" s="295"/>
      <c r="M2102" s="302"/>
      <c r="N2102" s="302"/>
      <c r="O2102" s="303"/>
      <c r="P2102" s="295"/>
      <c r="Q2102" s="295"/>
      <c r="R2102" s="295"/>
      <c r="S2102" s="295"/>
      <c r="T2102" s="295"/>
      <c r="U2102" s="295"/>
      <c r="V2102" s="295"/>
      <c r="W2102" s="295"/>
      <c r="X2102" s="295"/>
      <c r="Y2102" s="295"/>
      <c r="Z2102" s="295"/>
      <c r="AA2102" s="295"/>
      <c r="AB2102" s="295"/>
      <c r="AC2102" s="295"/>
      <c r="AD2102" s="295"/>
      <c r="AE2102" s="295"/>
      <c r="AF2102" s="295"/>
      <c r="AG2102" s="295"/>
      <c r="AH2102" s="295"/>
      <c r="AI2102" s="295"/>
      <c r="AJ2102" s="295"/>
    </row>
    <row r="2103" spans="1:36" s="291" customFormat="1" ht="16.2">
      <c r="A2103" s="304"/>
      <c r="B2103" s="289"/>
      <c r="C2103" s="290"/>
      <c r="E2103" s="453"/>
      <c r="G2103" s="454"/>
      <c r="I2103" s="295"/>
      <c r="J2103" s="295"/>
      <c r="K2103" s="295"/>
      <c r="L2103" s="295"/>
      <c r="M2103" s="302"/>
      <c r="N2103" s="302"/>
      <c r="O2103" s="303"/>
      <c r="P2103" s="295"/>
      <c r="Q2103" s="295"/>
      <c r="R2103" s="295"/>
      <c r="S2103" s="295"/>
      <c r="T2103" s="295"/>
      <c r="U2103" s="295"/>
      <c r="V2103" s="295"/>
      <c r="W2103" s="295"/>
      <c r="X2103" s="295"/>
      <c r="Y2103" s="295"/>
      <c r="Z2103" s="295"/>
      <c r="AA2103" s="295"/>
      <c r="AB2103" s="295"/>
      <c r="AC2103" s="295"/>
      <c r="AD2103" s="295"/>
      <c r="AE2103" s="295"/>
      <c r="AF2103" s="295"/>
      <c r="AG2103" s="295"/>
      <c r="AH2103" s="295"/>
      <c r="AI2103" s="295"/>
      <c r="AJ2103" s="295"/>
    </row>
    <row r="2104" spans="1:36" s="291" customFormat="1" ht="16.2">
      <c r="A2104" s="304"/>
      <c r="B2104" s="289"/>
      <c r="C2104" s="290"/>
      <c r="E2104" s="453"/>
      <c r="G2104" s="454"/>
      <c r="I2104" s="295"/>
      <c r="J2104" s="295"/>
      <c r="K2104" s="295"/>
      <c r="L2104" s="295"/>
      <c r="M2104" s="302"/>
      <c r="N2104" s="302"/>
      <c r="O2104" s="303"/>
      <c r="P2104" s="295"/>
      <c r="Q2104" s="295"/>
      <c r="R2104" s="295"/>
      <c r="S2104" s="295"/>
      <c r="T2104" s="295"/>
      <c r="U2104" s="295"/>
      <c r="V2104" s="295"/>
      <c r="W2104" s="295"/>
      <c r="X2104" s="295"/>
      <c r="Y2104" s="295"/>
      <c r="Z2104" s="295"/>
      <c r="AA2104" s="295"/>
      <c r="AB2104" s="295"/>
      <c r="AC2104" s="295"/>
      <c r="AD2104" s="295"/>
      <c r="AE2104" s="295"/>
      <c r="AF2104" s="295"/>
      <c r="AG2104" s="295"/>
      <c r="AH2104" s="295"/>
      <c r="AI2104" s="295"/>
      <c r="AJ2104" s="295"/>
    </row>
    <row r="2105" spans="1:36" s="291" customFormat="1" ht="16.2">
      <c r="A2105" s="304"/>
      <c r="B2105" s="289"/>
      <c r="C2105" s="290"/>
      <c r="E2105" s="453"/>
      <c r="G2105" s="454"/>
      <c r="I2105" s="295"/>
      <c r="J2105" s="295"/>
      <c r="K2105" s="295"/>
      <c r="L2105" s="295"/>
      <c r="M2105" s="302"/>
      <c r="N2105" s="302"/>
      <c r="O2105" s="303"/>
      <c r="P2105" s="295"/>
      <c r="Q2105" s="295"/>
      <c r="R2105" s="295"/>
      <c r="S2105" s="295"/>
      <c r="T2105" s="295"/>
      <c r="U2105" s="295"/>
      <c r="V2105" s="295"/>
      <c r="W2105" s="295"/>
      <c r="X2105" s="295"/>
      <c r="Y2105" s="295"/>
      <c r="Z2105" s="295"/>
      <c r="AA2105" s="295"/>
      <c r="AB2105" s="295"/>
      <c r="AC2105" s="295"/>
      <c r="AD2105" s="295"/>
      <c r="AE2105" s="295"/>
      <c r="AF2105" s="295"/>
      <c r="AG2105" s="295"/>
      <c r="AH2105" s="295"/>
      <c r="AI2105" s="295"/>
      <c r="AJ2105" s="295"/>
    </row>
    <row r="2106" spans="1:36" s="291" customFormat="1" ht="16.2">
      <c r="A2106" s="304"/>
      <c r="B2106" s="289"/>
      <c r="C2106" s="290"/>
      <c r="E2106" s="453"/>
      <c r="G2106" s="454"/>
      <c r="I2106" s="295"/>
      <c r="J2106" s="295"/>
      <c r="K2106" s="295"/>
      <c r="L2106" s="295"/>
      <c r="M2106" s="302"/>
      <c r="N2106" s="302"/>
      <c r="O2106" s="303"/>
      <c r="P2106" s="295"/>
      <c r="Q2106" s="295"/>
      <c r="R2106" s="295"/>
      <c r="S2106" s="295"/>
      <c r="T2106" s="295"/>
      <c r="U2106" s="295"/>
      <c r="V2106" s="295"/>
      <c r="W2106" s="295"/>
      <c r="X2106" s="295"/>
      <c r="Y2106" s="295"/>
      <c r="Z2106" s="295"/>
      <c r="AA2106" s="295"/>
      <c r="AB2106" s="295"/>
      <c r="AC2106" s="295"/>
      <c r="AD2106" s="295"/>
      <c r="AE2106" s="295"/>
      <c r="AF2106" s="295"/>
      <c r="AG2106" s="295"/>
      <c r="AH2106" s="295"/>
      <c r="AI2106" s="295"/>
      <c r="AJ2106" s="295"/>
    </row>
    <row r="2107" spans="1:36" s="291" customFormat="1" ht="16.2">
      <c r="A2107" s="304"/>
      <c r="B2107" s="289"/>
      <c r="C2107" s="290"/>
      <c r="E2107" s="453"/>
      <c r="G2107" s="454"/>
      <c r="I2107" s="295"/>
      <c r="J2107" s="295"/>
      <c r="K2107" s="295"/>
      <c r="L2107" s="295"/>
      <c r="M2107" s="302"/>
      <c r="N2107" s="302"/>
      <c r="O2107" s="303"/>
      <c r="P2107" s="295"/>
      <c r="Q2107" s="295"/>
      <c r="R2107" s="295"/>
      <c r="S2107" s="295"/>
      <c r="T2107" s="295"/>
      <c r="U2107" s="295"/>
      <c r="V2107" s="295"/>
      <c r="W2107" s="295"/>
      <c r="X2107" s="295"/>
      <c r="Y2107" s="295"/>
      <c r="Z2107" s="295"/>
      <c r="AA2107" s="295"/>
      <c r="AB2107" s="295"/>
      <c r="AC2107" s="295"/>
      <c r="AD2107" s="295"/>
      <c r="AE2107" s="295"/>
      <c r="AF2107" s="295"/>
      <c r="AG2107" s="295"/>
      <c r="AH2107" s="295"/>
      <c r="AI2107" s="295"/>
      <c r="AJ2107" s="295"/>
    </row>
    <row r="2108" spans="1:36" s="291" customFormat="1" ht="16.2">
      <c r="A2108" s="304"/>
      <c r="B2108" s="289"/>
      <c r="C2108" s="290"/>
      <c r="E2108" s="453"/>
      <c r="G2108" s="454"/>
      <c r="I2108" s="295"/>
      <c r="J2108" s="295"/>
      <c r="K2108" s="295"/>
      <c r="L2108" s="295"/>
      <c r="M2108" s="302"/>
      <c r="N2108" s="302"/>
      <c r="O2108" s="303"/>
      <c r="P2108" s="295"/>
      <c r="Q2108" s="295"/>
      <c r="R2108" s="295"/>
      <c r="S2108" s="295"/>
      <c r="T2108" s="295"/>
      <c r="U2108" s="295"/>
      <c r="V2108" s="295"/>
      <c r="W2108" s="295"/>
      <c r="X2108" s="295"/>
      <c r="Y2108" s="295"/>
      <c r="Z2108" s="295"/>
      <c r="AA2108" s="295"/>
      <c r="AB2108" s="295"/>
      <c r="AC2108" s="295"/>
      <c r="AD2108" s="295"/>
      <c r="AE2108" s="295"/>
      <c r="AF2108" s="295"/>
      <c r="AG2108" s="295"/>
      <c r="AH2108" s="295"/>
      <c r="AI2108" s="295"/>
      <c r="AJ2108" s="295"/>
    </row>
    <row r="2109" spans="1:36" s="291" customFormat="1" ht="16.2">
      <c r="A2109" s="304"/>
      <c r="B2109" s="289"/>
      <c r="C2109" s="290"/>
      <c r="E2109" s="453"/>
      <c r="G2109" s="454"/>
      <c r="I2109" s="295"/>
      <c r="J2109" s="295"/>
      <c r="K2109" s="295"/>
      <c r="L2109" s="295"/>
      <c r="M2109" s="302"/>
      <c r="N2109" s="302"/>
      <c r="O2109" s="303"/>
      <c r="P2109" s="295"/>
      <c r="Q2109" s="295"/>
      <c r="R2109" s="295"/>
      <c r="S2109" s="295"/>
      <c r="T2109" s="295"/>
      <c r="U2109" s="295"/>
      <c r="V2109" s="295"/>
      <c r="W2109" s="295"/>
      <c r="X2109" s="295"/>
      <c r="Y2109" s="295"/>
      <c r="Z2109" s="295"/>
      <c r="AA2109" s="295"/>
      <c r="AB2109" s="295"/>
      <c r="AC2109" s="295"/>
      <c r="AD2109" s="295"/>
      <c r="AE2109" s="295"/>
      <c r="AF2109" s="295"/>
      <c r="AG2109" s="295"/>
      <c r="AH2109" s="295"/>
      <c r="AI2109" s="295"/>
      <c r="AJ2109" s="295"/>
    </row>
    <row r="2110" spans="1:36" s="291" customFormat="1" ht="16.2">
      <c r="A2110" s="304"/>
      <c r="B2110" s="289"/>
      <c r="C2110" s="290"/>
      <c r="E2110" s="453"/>
      <c r="G2110" s="454"/>
      <c r="I2110" s="295"/>
      <c r="J2110" s="295"/>
      <c r="K2110" s="295"/>
      <c r="L2110" s="295"/>
      <c r="M2110" s="302"/>
      <c r="N2110" s="302"/>
      <c r="O2110" s="303"/>
      <c r="P2110" s="295"/>
      <c r="Q2110" s="295"/>
      <c r="R2110" s="295"/>
      <c r="S2110" s="295"/>
      <c r="T2110" s="295"/>
      <c r="U2110" s="295"/>
      <c r="V2110" s="295"/>
      <c r="W2110" s="295"/>
      <c r="X2110" s="295"/>
      <c r="Y2110" s="295"/>
      <c r="Z2110" s="295"/>
      <c r="AA2110" s="295"/>
      <c r="AB2110" s="295"/>
      <c r="AC2110" s="295"/>
      <c r="AD2110" s="295"/>
      <c r="AE2110" s="295"/>
      <c r="AF2110" s="295"/>
      <c r="AG2110" s="295"/>
      <c r="AH2110" s="295"/>
      <c r="AI2110" s="295"/>
      <c r="AJ2110" s="295"/>
    </row>
    <row r="2111" spans="1:36" s="291" customFormat="1" ht="16.2">
      <c r="A2111" s="304"/>
      <c r="B2111" s="289"/>
      <c r="C2111" s="290"/>
      <c r="E2111" s="453"/>
      <c r="G2111" s="454"/>
      <c r="I2111" s="295"/>
      <c r="J2111" s="295"/>
      <c r="K2111" s="295"/>
      <c r="L2111" s="295"/>
      <c r="M2111" s="302"/>
      <c r="N2111" s="302"/>
      <c r="O2111" s="303"/>
      <c r="P2111" s="295"/>
      <c r="Q2111" s="295"/>
      <c r="R2111" s="295"/>
      <c r="S2111" s="295"/>
      <c r="T2111" s="295"/>
      <c r="U2111" s="295"/>
      <c r="V2111" s="295"/>
      <c r="W2111" s="295"/>
      <c r="X2111" s="295"/>
      <c r="Y2111" s="295"/>
      <c r="Z2111" s="295"/>
      <c r="AA2111" s="295"/>
      <c r="AB2111" s="295"/>
      <c r="AC2111" s="295"/>
      <c r="AD2111" s="295"/>
      <c r="AE2111" s="295"/>
      <c r="AF2111" s="295"/>
      <c r="AG2111" s="295"/>
      <c r="AH2111" s="295"/>
      <c r="AI2111" s="295"/>
      <c r="AJ2111" s="295"/>
    </row>
    <row r="2112" spans="1:36" s="291" customFormat="1" ht="16.2">
      <c r="A2112" s="304"/>
      <c r="B2112" s="289"/>
      <c r="C2112" s="290"/>
      <c r="E2112" s="453"/>
      <c r="G2112" s="454"/>
      <c r="I2112" s="295"/>
      <c r="J2112" s="295"/>
      <c r="K2112" s="295"/>
      <c r="L2112" s="295"/>
      <c r="M2112" s="302"/>
      <c r="N2112" s="302"/>
      <c r="O2112" s="303"/>
      <c r="P2112" s="295"/>
      <c r="Q2112" s="295"/>
      <c r="R2112" s="295"/>
      <c r="S2112" s="295"/>
      <c r="T2112" s="295"/>
      <c r="U2112" s="295"/>
      <c r="V2112" s="295"/>
      <c r="W2112" s="295"/>
      <c r="X2112" s="295"/>
      <c r="Y2112" s="295"/>
      <c r="Z2112" s="295"/>
      <c r="AA2112" s="295"/>
      <c r="AB2112" s="295"/>
      <c r="AC2112" s="295"/>
      <c r="AD2112" s="295"/>
      <c r="AE2112" s="295"/>
      <c r="AF2112" s="295"/>
      <c r="AG2112" s="295"/>
      <c r="AH2112" s="295"/>
      <c r="AI2112" s="295"/>
      <c r="AJ2112" s="295"/>
    </row>
    <row r="2113" spans="1:36" s="291" customFormat="1" ht="16.2">
      <c r="A2113" s="304"/>
      <c r="B2113" s="289"/>
      <c r="C2113" s="290"/>
      <c r="E2113" s="453"/>
      <c r="G2113" s="454"/>
      <c r="I2113" s="295"/>
      <c r="J2113" s="295"/>
      <c r="K2113" s="295"/>
      <c r="L2113" s="295"/>
      <c r="M2113" s="302"/>
      <c r="N2113" s="302"/>
      <c r="O2113" s="303"/>
      <c r="P2113" s="295"/>
      <c r="Q2113" s="295"/>
      <c r="R2113" s="295"/>
      <c r="S2113" s="295"/>
      <c r="T2113" s="295"/>
      <c r="U2113" s="295"/>
      <c r="V2113" s="295"/>
      <c r="W2113" s="295"/>
      <c r="X2113" s="295"/>
      <c r="Y2113" s="295"/>
      <c r="Z2113" s="295"/>
      <c r="AA2113" s="295"/>
      <c r="AB2113" s="295"/>
      <c r="AC2113" s="295"/>
      <c r="AD2113" s="295"/>
      <c r="AE2113" s="295"/>
      <c r="AF2113" s="295"/>
      <c r="AG2113" s="295"/>
      <c r="AH2113" s="295"/>
      <c r="AI2113" s="295"/>
      <c r="AJ2113" s="295"/>
    </row>
    <row r="2114" spans="1:36" s="291" customFormat="1" ht="16.2">
      <c r="A2114" s="304"/>
      <c r="B2114" s="289"/>
      <c r="C2114" s="290"/>
      <c r="E2114" s="453"/>
      <c r="G2114" s="454"/>
      <c r="I2114" s="295"/>
      <c r="J2114" s="295"/>
      <c r="K2114" s="295"/>
      <c r="L2114" s="295"/>
      <c r="M2114" s="302"/>
      <c r="N2114" s="302"/>
      <c r="O2114" s="303"/>
      <c r="P2114" s="295"/>
      <c r="Q2114" s="295"/>
      <c r="R2114" s="295"/>
      <c r="S2114" s="295"/>
      <c r="T2114" s="295"/>
      <c r="U2114" s="295"/>
      <c r="V2114" s="295"/>
      <c r="W2114" s="295"/>
      <c r="X2114" s="295"/>
      <c r="Y2114" s="295"/>
      <c r="Z2114" s="295"/>
      <c r="AA2114" s="295"/>
      <c r="AB2114" s="295"/>
      <c r="AC2114" s="295"/>
      <c r="AD2114" s="295"/>
      <c r="AE2114" s="295"/>
      <c r="AF2114" s="295"/>
      <c r="AG2114" s="295"/>
      <c r="AH2114" s="295"/>
      <c r="AI2114" s="295"/>
      <c r="AJ2114" s="295"/>
    </row>
    <row r="2115" spans="1:36" s="291" customFormat="1" ht="16.2">
      <c r="A2115" s="304"/>
      <c r="B2115" s="289"/>
      <c r="C2115" s="290"/>
      <c r="E2115" s="453"/>
      <c r="G2115" s="454"/>
      <c r="I2115" s="295"/>
      <c r="J2115" s="295"/>
      <c r="K2115" s="295"/>
      <c r="L2115" s="295"/>
      <c r="M2115" s="302"/>
      <c r="N2115" s="302"/>
      <c r="O2115" s="303"/>
      <c r="P2115" s="295"/>
      <c r="Q2115" s="295"/>
      <c r="R2115" s="295"/>
      <c r="S2115" s="295"/>
      <c r="T2115" s="295"/>
      <c r="U2115" s="295"/>
      <c r="V2115" s="295"/>
      <c r="W2115" s="295"/>
      <c r="X2115" s="295"/>
      <c r="Y2115" s="295"/>
      <c r="Z2115" s="295"/>
      <c r="AA2115" s="295"/>
      <c r="AB2115" s="295"/>
      <c r="AC2115" s="295"/>
      <c r="AD2115" s="295"/>
      <c r="AE2115" s="295"/>
      <c r="AF2115" s="295"/>
      <c r="AG2115" s="295"/>
      <c r="AH2115" s="295"/>
      <c r="AI2115" s="295"/>
      <c r="AJ2115" s="295"/>
    </row>
    <row r="2116" spans="1:36" s="291" customFormat="1" ht="16.2">
      <c r="A2116" s="304"/>
      <c r="B2116" s="289"/>
      <c r="C2116" s="290"/>
      <c r="E2116" s="453"/>
      <c r="G2116" s="454"/>
      <c r="I2116" s="295"/>
      <c r="J2116" s="295"/>
      <c r="K2116" s="295"/>
      <c r="L2116" s="295"/>
      <c r="M2116" s="302"/>
      <c r="N2116" s="302"/>
      <c r="O2116" s="303"/>
      <c r="P2116" s="295"/>
      <c r="Q2116" s="295"/>
      <c r="R2116" s="295"/>
      <c r="S2116" s="295"/>
      <c r="T2116" s="295"/>
      <c r="U2116" s="295"/>
      <c r="V2116" s="295"/>
      <c r="W2116" s="295"/>
      <c r="X2116" s="295"/>
      <c r="Y2116" s="295"/>
      <c r="Z2116" s="295"/>
      <c r="AA2116" s="295"/>
      <c r="AB2116" s="295"/>
      <c r="AC2116" s="295"/>
      <c r="AD2116" s="295"/>
      <c r="AE2116" s="295"/>
      <c r="AF2116" s="295"/>
      <c r="AG2116" s="295"/>
      <c r="AH2116" s="295"/>
      <c r="AI2116" s="295"/>
      <c r="AJ2116" s="295"/>
    </row>
    <row r="2117" spans="1:36" s="291" customFormat="1" ht="16.2">
      <c r="A2117" s="304"/>
      <c r="B2117" s="289"/>
      <c r="C2117" s="290"/>
      <c r="E2117" s="453"/>
      <c r="G2117" s="454"/>
      <c r="I2117" s="295"/>
      <c r="J2117" s="295"/>
      <c r="K2117" s="295"/>
      <c r="L2117" s="295"/>
      <c r="M2117" s="302"/>
      <c r="N2117" s="302"/>
      <c r="O2117" s="303"/>
      <c r="P2117" s="295"/>
      <c r="Q2117" s="295"/>
      <c r="R2117" s="295"/>
      <c r="S2117" s="295"/>
      <c r="T2117" s="295"/>
      <c r="U2117" s="295"/>
      <c r="V2117" s="295"/>
      <c r="W2117" s="295"/>
      <c r="X2117" s="295"/>
      <c r="Y2117" s="295"/>
      <c r="Z2117" s="295"/>
      <c r="AA2117" s="295"/>
      <c r="AB2117" s="295"/>
      <c r="AC2117" s="295"/>
      <c r="AD2117" s="295"/>
      <c r="AE2117" s="295"/>
      <c r="AF2117" s="295"/>
      <c r="AG2117" s="295"/>
      <c r="AH2117" s="295"/>
      <c r="AI2117" s="295"/>
      <c r="AJ2117" s="295"/>
    </row>
    <row r="2118" spans="1:36" s="291" customFormat="1" ht="16.2">
      <c r="A2118" s="304"/>
      <c r="B2118" s="289"/>
      <c r="C2118" s="290"/>
      <c r="E2118" s="453"/>
      <c r="G2118" s="454"/>
      <c r="I2118" s="295"/>
      <c r="J2118" s="295"/>
      <c r="K2118" s="295"/>
      <c r="L2118" s="295"/>
      <c r="M2118" s="302"/>
      <c r="N2118" s="302"/>
      <c r="O2118" s="303"/>
      <c r="P2118" s="295"/>
      <c r="Q2118" s="295"/>
      <c r="R2118" s="295"/>
      <c r="S2118" s="295"/>
      <c r="T2118" s="295"/>
      <c r="U2118" s="295"/>
      <c r="V2118" s="295"/>
      <c r="W2118" s="295"/>
      <c r="X2118" s="295"/>
      <c r="Y2118" s="295"/>
      <c r="Z2118" s="295"/>
      <c r="AA2118" s="295"/>
      <c r="AB2118" s="295"/>
      <c r="AC2118" s="295"/>
      <c r="AD2118" s="295"/>
      <c r="AE2118" s="295"/>
      <c r="AF2118" s="295"/>
      <c r="AG2118" s="295"/>
      <c r="AH2118" s="295"/>
      <c r="AI2118" s="295"/>
      <c r="AJ2118" s="295"/>
    </row>
    <row r="2119" spans="1:36" s="291" customFormat="1" ht="16.2">
      <c r="A2119" s="304"/>
      <c r="B2119" s="289"/>
      <c r="C2119" s="290"/>
      <c r="E2119" s="453"/>
      <c r="G2119" s="454"/>
      <c r="I2119" s="295"/>
      <c r="J2119" s="295"/>
      <c r="K2119" s="295"/>
      <c r="L2119" s="295"/>
      <c r="M2119" s="302"/>
      <c r="N2119" s="302"/>
      <c r="O2119" s="303"/>
      <c r="P2119" s="295"/>
      <c r="Q2119" s="295"/>
      <c r="R2119" s="295"/>
      <c r="S2119" s="295"/>
      <c r="T2119" s="295"/>
      <c r="U2119" s="295"/>
      <c r="V2119" s="295"/>
      <c r="W2119" s="295"/>
      <c r="X2119" s="295"/>
      <c r="Y2119" s="295"/>
      <c r="Z2119" s="295"/>
      <c r="AA2119" s="295"/>
      <c r="AB2119" s="295"/>
      <c r="AC2119" s="295"/>
      <c r="AD2119" s="295"/>
      <c r="AE2119" s="295"/>
      <c r="AF2119" s="295"/>
      <c r="AG2119" s="295"/>
      <c r="AH2119" s="295"/>
      <c r="AI2119" s="295"/>
      <c r="AJ2119" s="295"/>
    </row>
    <row r="2120" spans="1:36" s="291" customFormat="1" ht="16.2">
      <c r="A2120" s="304"/>
      <c r="B2120" s="289"/>
      <c r="C2120" s="290"/>
      <c r="E2120" s="453"/>
      <c r="G2120" s="454"/>
      <c r="I2120" s="295"/>
      <c r="J2120" s="295"/>
      <c r="K2120" s="295"/>
      <c r="L2120" s="295"/>
      <c r="M2120" s="302"/>
      <c r="N2120" s="302"/>
      <c r="O2120" s="303"/>
      <c r="P2120" s="295"/>
      <c r="Q2120" s="295"/>
      <c r="R2120" s="295"/>
      <c r="S2120" s="295"/>
      <c r="T2120" s="295"/>
      <c r="U2120" s="295"/>
      <c r="V2120" s="295"/>
      <c r="W2120" s="295"/>
      <c r="X2120" s="295"/>
      <c r="Y2120" s="295"/>
      <c r="Z2120" s="295"/>
      <c r="AA2120" s="295"/>
      <c r="AB2120" s="295"/>
      <c r="AC2120" s="295"/>
      <c r="AD2120" s="295"/>
      <c r="AE2120" s="295"/>
      <c r="AF2120" s="295"/>
      <c r="AG2120" s="295"/>
      <c r="AH2120" s="295"/>
      <c r="AI2120" s="295"/>
      <c r="AJ2120" s="295"/>
    </row>
    <row r="2121" spans="1:36" s="291" customFormat="1" ht="16.2">
      <c r="A2121" s="304"/>
      <c r="B2121" s="289"/>
      <c r="C2121" s="290"/>
      <c r="E2121" s="453"/>
      <c r="G2121" s="454"/>
      <c r="I2121" s="295"/>
      <c r="J2121" s="295"/>
      <c r="K2121" s="295"/>
      <c r="L2121" s="295"/>
      <c r="M2121" s="302"/>
      <c r="N2121" s="302"/>
      <c r="O2121" s="303"/>
      <c r="P2121" s="295"/>
      <c r="Q2121" s="295"/>
      <c r="R2121" s="295"/>
      <c r="S2121" s="295"/>
      <c r="T2121" s="295"/>
      <c r="U2121" s="295"/>
      <c r="V2121" s="295"/>
      <c r="W2121" s="295"/>
      <c r="X2121" s="295"/>
      <c r="Y2121" s="295"/>
      <c r="Z2121" s="295"/>
      <c r="AA2121" s="295"/>
      <c r="AB2121" s="295"/>
      <c r="AC2121" s="295"/>
      <c r="AD2121" s="295"/>
      <c r="AE2121" s="295"/>
      <c r="AF2121" s="295"/>
      <c r="AG2121" s="295"/>
      <c r="AH2121" s="295"/>
      <c r="AI2121" s="295"/>
      <c r="AJ2121" s="295"/>
    </row>
    <row r="2122" spans="1:36" s="291" customFormat="1" ht="16.2">
      <c r="A2122" s="304"/>
      <c r="B2122" s="289"/>
      <c r="C2122" s="290"/>
      <c r="E2122" s="453"/>
      <c r="G2122" s="454"/>
      <c r="I2122" s="295"/>
      <c r="J2122" s="295"/>
      <c r="K2122" s="295"/>
      <c r="L2122" s="295"/>
      <c r="M2122" s="302"/>
      <c r="N2122" s="302"/>
      <c r="O2122" s="303"/>
      <c r="P2122" s="295"/>
      <c r="Q2122" s="295"/>
      <c r="R2122" s="295"/>
      <c r="S2122" s="295"/>
      <c r="T2122" s="295"/>
      <c r="U2122" s="295"/>
      <c r="V2122" s="295"/>
      <c r="W2122" s="295"/>
      <c r="X2122" s="295"/>
      <c r="Y2122" s="295"/>
      <c r="Z2122" s="295"/>
      <c r="AA2122" s="295"/>
      <c r="AB2122" s="295"/>
      <c r="AC2122" s="295"/>
      <c r="AD2122" s="295"/>
      <c r="AE2122" s="295"/>
      <c r="AF2122" s="295"/>
      <c r="AG2122" s="295"/>
      <c r="AH2122" s="295"/>
      <c r="AI2122" s="295"/>
      <c r="AJ2122" s="295"/>
    </row>
    <row r="2123" spans="1:36" s="291" customFormat="1" ht="16.2">
      <c r="A2123" s="304"/>
      <c r="B2123" s="289"/>
      <c r="C2123" s="290"/>
      <c r="E2123" s="453"/>
      <c r="G2123" s="454"/>
      <c r="I2123" s="295"/>
      <c r="J2123" s="295"/>
      <c r="K2123" s="295"/>
      <c r="L2123" s="295"/>
      <c r="M2123" s="302"/>
      <c r="N2123" s="302"/>
      <c r="O2123" s="303"/>
      <c r="P2123" s="295"/>
      <c r="Q2123" s="295"/>
      <c r="R2123" s="295"/>
      <c r="S2123" s="295"/>
      <c r="T2123" s="295"/>
      <c r="U2123" s="295"/>
      <c r="V2123" s="295"/>
      <c r="W2123" s="295"/>
      <c r="X2123" s="295"/>
      <c r="Y2123" s="295"/>
      <c r="Z2123" s="295"/>
      <c r="AA2123" s="295"/>
      <c r="AB2123" s="295"/>
      <c r="AC2123" s="295"/>
      <c r="AD2123" s="295"/>
      <c r="AE2123" s="295"/>
      <c r="AF2123" s="295"/>
      <c r="AG2123" s="295"/>
      <c r="AH2123" s="295"/>
      <c r="AI2123" s="295"/>
      <c r="AJ2123" s="295"/>
    </row>
    <row r="2124" spans="1:36" s="291" customFormat="1" ht="16.2">
      <c r="A2124" s="304"/>
      <c r="B2124" s="289"/>
      <c r="C2124" s="290"/>
      <c r="E2124" s="453"/>
      <c r="G2124" s="454"/>
      <c r="I2124" s="295"/>
      <c r="J2124" s="295"/>
      <c r="K2124" s="295"/>
      <c r="L2124" s="295"/>
      <c r="M2124" s="302"/>
      <c r="N2124" s="302"/>
      <c r="O2124" s="303"/>
      <c r="P2124" s="295"/>
      <c r="Q2124" s="295"/>
      <c r="R2124" s="295"/>
      <c r="S2124" s="295"/>
      <c r="T2124" s="295"/>
      <c r="U2124" s="295"/>
      <c r="V2124" s="295"/>
      <c r="W2124" s="295"/>
      <c r="X2124" s="295"/>
      <c r="Y2124" s="295"/>
      <c r="Z2124" s="295"/>
      <c r="AA2124" s="295"/>
      <c r="AB2124" s="295"/>
      <c r="AC2124" s="295"/>
      <c r="AD2124" s="295"/>
      <c r="AE2124" s="295"/>
      <c r="AF2124" s="295"/>
      <c r="AG2124" s="295"/>
      <c r="AH2124" s="295"/>
      <c r="AI2124" s="295"/>
      <c r="AJ2124" s="295"/>
    </row>
    <row r="2125" spans="1:36" s="291" customFormat="1" ht="16.2">
      <c r="A2125" s="304"/>
      <c r="B2125" s="289"/>
      <c r="C2125" s="290"/>
      <c r="E2125" s="453"/>
      <c r="G2125" s="454"/>
      <c r="I2125" s="295"/>
      <c r="J2125" s="295"/>
      <c r="K2125" s="295"/>
      <c r="L2125" s="295"/>
      <c r="M2125" s="302"/>
      <c r="N2125" s="302"/>
      <c r="O2125" s="303"/>
      <c r="P2125" s="295"/>
      <c r="Q2125" s="295"/>
      <c r="R2125" s="295"/>
      <c r="S2125" s="295"/>
      <c r="T2125" s="295"/>
      <c r="U2125" s="295"/>
      <c r="V2125" s="295"/>
      <c r="W2125" s="295"/>
      <c r="X2125" s="295"/>
      <c r="Y2125" s="295"/>
      <c r="Z2125" s="295"/>
      <c r="AA2125" s="295"/>
      <c r="AB2125" s="295"/>
      <c r="AC2125" s="295"/>
      <c r="AD2125" s="295"/>
      <c r="AE2125" s="295"/>
      <c r="AF2125" s="295"/>
      <c r="AG2125" s="295"/>
      <c r="AH2125" s="295"/>
      <c r="AI2125" s="295"/>
      <c r="AJ2125" s="295"/>
    </row>
    <row r="2126" spans="1:36" s="291" customFormat="1" ht="16.2">
      <c r="A2126" s="304"/>
      <c r="B2126" s="289"/>
      <c r="C2126" s="290"/>
      <c r="E2126" s="453"/>
      <c r="G2126" s="454"/>
      <c r="I2126" s="295"/>
      <c r="J2126" s="295"/>
      <c r="K2126" s="295"/>
      <c r="L2126" s="295"/>
      <c r="M2126" s="302"/>
      <c r="N2126" s="302"/>
      <c r="O2126" s="303"/>
      <c r="P2126" s="295"/>
      <c r="Q2126" s="295"/>
      <c r="R2126" s="295"/>
      <c r="S2126" s="295"/>
      <c r="T2126" s="295"/>
      <c r="U2126" s="295"/>
      <c r="V2126" s="295"/>
      <c r="W2126" s="295"/>
      <c r="X2126" s="295"/>
      <c r="Y2126" s="295"/>
      <c r="Z2126" s="295"/>
      <c r="AA2126" s="295"/>
      <c r="AB2126" s="295"/>
      <c r="AC2126" s="295"/>
      <c r="AD2126" s="295"/>
      <c r="AE2126" s="295"/>
      <c r="AF2126" s="295"/>
      <c r="AG2126" s="295"/>
      <c r="AH2126" s="295"/>
      <c r="AI2126" s="295"/>
      <c r="AJ2126" s="295"/>
    </row>
    <row r="2127" spans="1:36" s="291" customFormat="1" ht="16.2">
      <c r="A2127" s="304"/>
      <c r="B2127" s="289"/>
      <c r="C2127" s="290"/>
      <c r="E2127" s="453"/>
      <c r="G2127" s="454"/>
      <c r="I2127" s="295"/>
      <c r="J2127" s="295"/>
      <c r="K2127" s="295"/>
      <c r="L2127" s="295"/>
      <c r="M2127" s="302"/>
      <c r="N2127" s="302"/>
      <c r="O2127" s="303"/>
      <c r="P2127" s="295"/>
      <c r="Q2127" s="295"/>
      <c r="R2127" s="295"/>
      <c r="S2127" s="295"/>
      <c r="T2127" s="295"/>
      <c r="U2127" s="295"/>
      <c r="V2127" s="295"/>
      <c r="W2127" s="295"/>
      <c r="X2127" s="295"/>
      <c r="Y2127" s="295"/>
      <c r="Z2127" s="295"/>
      <c r="AA2127" s="295"/>
      <c r="AB2127" s="295"/>
      <c r="AC2127" s="295"/>
      <c r="AD2127" s="295"/>
      <c r="AE2127" s="295"/>
      <c r="AF2127" s="295"/>
      <c r="AG2127" s="295"/>
      <c r="AH2127" s="295"/>
      <c r="AI2127" s="295"/>
      <c r="AJ2127" s="295"/>
    </row>
    <row r="2128" spans="1:36" s="291" customFormat="1" ht="16.2">
      <c r="A2128" s="304"/>
      <c r="B2128" s="289"/>
      <c r="C2128" s="290"/>
      <c r="E2128" s="453"/>
      <c r="G2128" s="454"/>
      <c r="I2128" s="295"/>
      <c r="J2128" s="295"/>
      <c r="K2128" s="295"/>
      <c r="L2128" s="295"/>
      <c r="M2128" s="302"/>
      <c r="N2128" s="302"/>
      <c r="O2128" s="303"/>
      <c r="P2128" s="295"/>
      <c r="Q2128" s="295"/>
      <c r="R2128" s="295"/>
      <c r="S2128" s="295"/>
      <c r="T2128" s="295"/>
      <c r="U2128" s="295"/>
      <c r="V2128" s="295"/>
      <c r="W2128" s="295"/>
      <c r="X2128" s="295"/>
      <c r="Y2128" s="295"/>
      <c r="Z2128" s="295"/>
      <c r="AA2128" s="295"/>
      <c r="AB2128" s="295"/>
      <c r="AC2128" s="295"/>
      <c r="AD2128" s="295"/>
      <c r="AE2128" s="295"/>
      <c r="AF2128" s="295"/>
      <c r="AG2128" s="295"/>
      <c r="AH2128" s="295"/>
      <c r="AI2128" s="295"/>
      <c r="AJ2128" s="295"/>
    </row>
    <row r="2129" spans="1:36" s="291" customFormat="1" ht="16.2">
      <c r="A2129" s="304"/>
      <c r="B2129" s="289"/>
      <c r="C2129" s="290"/>
      <c r="E2129" s="453"/>
      <c r="G2129" s="454"/>
      <c r="I2129" s="295"/>
      <c r="J2129" s="295"/>
      <c r="K2129" s="295"/>
      <c r="L2129" s="295"/>
      <c r="M2129" s="302"/>
      <c r="N2129" s="302"/>
      <c r="O2129" s="303"/>
      <c r="P2129" s="295"/>
      <c r="Q2129" s="295"/>
      <c r="R2129" s="295"/>
      <c r="S2129" s="295"/>
      <c r="T2129" s="295"/>
      <c r="U2129" s="295"/>
      <c r="V2129" s="295"/>
      <c r="W2129" s="295"/>
      <c r="X2129" s="295"/>
      <c r="Y2129" s="295"/>
      <c r="Z2129" s="295"/>
      <c r="AA2129" s="295"/>
      <c r="AB2129" s="295"/>
      <c r="AC2129" s="295"/>
      <c r="AD2129" s="295"/>
      <c r="AE2129" s="295"/>
      <c r="AF2129" s="295"/>
      <c r="AG2129" s="295"/>
      <c r="AH2129" s="295"/>
      <c r="AI2129" s="295"/>
      <c r="AJ2129" s="295"/>
    </row>
    <row r="2130" spans="1:36" s="291" customFormat="1" ht="16.2">
      <c r="A2130" s="304"/>
      <c r="B2130" s="289"/>
      <c r="C2130" s="290"/>
      <c r="E2130" s="453"/>
      <c r="G2130" s="454"/>
      <c r="I2130" s="295"/>
      <c r="J2130" s="295"/>
      <c r="K2130" s="295"/>
      <c r="L2130" s="295"/>
      <c r="M2130" s="302"/>
      <c r="N2130" s="302"/>
      <c r="O2130" s="303"/>
      <c r="P2130" s="295"/>
      <c r="Q2130" s="295"/>
      <c r="R2130" s="295"/>
      <c r="S2130" s="295"/>
      <c r="T2130" s="295"/>
      <c r="U2130" s="295"/>
      <c r="V2130" s="295"/>
      <c r="W2130" s="295"/>
      <c r="X2130" s="295"/>
      <c r="Y2130" s="295"/>
      <c r="Z2130" s="295"/>
      <c r="AA2130" s="295"/>
      <c r="AB2130" s="295"/>
      <c r="AC2130" s="295"/>
      <c r="AD2130" s="295"/>
      <c r="AE2130" s="295"/>
      <c r="AF2130" s="295"/>
      <c r="AG2130" s="295"/>
      <c r="AH2130" s="295"/>
      <c r="AI2130" s="295"/>
      <c r="AJ2130" s="295"/>
    </row>
    <row r="2131" spans="1:36" s="291" customFormat="1" ht="16.2">
      <c r="A2131" s="304"/>
      <c r="B2131" s="289"/>
      <c r="C2131" s="290"/>
      <c r="E2131" s="453"/>
      <c r="G2131" s="454"/>
      <c r="I2131" s="295"/>
      <c r="J2131" s="295"/>
      <c r="K2131" s="295"/>
      <c r="L2131" s="295"/>
      <c r="M2131" s="302"/>
      <c r="N2131" s="302"/>
      <c r="O2131" s="303"/>
      <c r="P2131" s="295"/>
      <c r="Q2131" s="295"/>
      <c r="R2131" s="295"/>
      <c r="S2131" s="295"/>
      <c r="T2131" s="295"/>
      <c r="U2131" s="295"/>
      <c r="V2131" s="295"/>
      <c r="W2131" s="295"/>
      <c r="X2131" s="295"/>
      <c r="Y2131" s="295"/>
      <c r="Z2131" s="295"/>
      <c r="AA2131" s="295"/>
      <c r="AB2131" s="295"/>
      <c r="AC2131" s="295"/>
      <c r="AD2131" s="295"/>
      <c r="AE2131" s="295"/>
      <c r="AF2131" s="295"/>
      <c r="AG2131" s="295"/>
      <c r="AH2131" s="295"/>
      <c r="AI2131" s="295"/>
      <c r="AJ2131" s="295"/>
    </row>
    <row r="2132" spans="1:36" s="291" customFormat="1" ht="16.2">
      <c r="A2132" s="304"/>
      <c r="B2132" s="289"/>
      <c r="C2132" s="290"/>
      <c r="E2132" s="453"/>
      <c r="G2132" s="454"/>
      <c r="I2132" s="295"/>
      <c r="J2132" s="295"/>
      <c r="K2132" s="295"/>
      <c r="L2132" s="295"/>
      <c r="M2132" s="302"/>
      <c r="N2132" s="302"/>
      <c r="O2132" s="303"/>
      <c r="P2132" s="295"/>
      <c r="Q2132" s="295"/>
      <c r="R2132" s="295"/>
      <c r="S2132" s="295"/>
      <c r="T2132" s="295"/>
      <c r="U2132" s="295"/>
      <c r="V2132" s="295"/>
      <c r="W2132" s="295"/>
      <c r="X2132" s="295"/>
      <c r="Y2132" s="295"/>
      <c r="Z2132" s="295"/>
      <c r="AA2132" s="295"/>
      <c r="AB2132" s="295"/>
      <c r="AC2132" s="295"/>
      <c r="AD2132" s="295"/>
      <c r="AE2132" s="295"/>
      <c r="AF2132" s="295"/>
      <c r="AG2132" s="295"/>
      <c r="AH2132" s="295"/>
      <c r="AI2132" s="295"/>
      <c r="AJ2132" s="295"/>
    </row>
    <row r="2133" spans="1:36" s="291" customFormat="1" ht="16.2">
      <c r="A2133" s="304"/>
      <c r="B2133" s="289"/>
      <c r="C2133" s="290"/>
      <c r="E2133" s="453"/>
      <c r="G2133" s="454"/>
      <c r="I2133" s="295"/>
      <c r="J2133" s="295"/>
      <c r="K2133" s="295"/>
      <c r="L2133" s="295"/>
      <c r="M2133" s="302"/>
      <c r="N2133" s="302"/>
      <c r="O2133" s="303"/>
      <c r="P2133" s="295"/>
      <c r="Q2133" s="295"/>
      <c r="R2133" s="295"/>
      <c r="S2133" s="295"/>
      <c r="T2133" s="295"/>
      <c r="U2133" s="295"/>
      <c r="V2133" s="295"/>
      <c r="W2133" s="295"/>
      <c r="X2133" s="295"/>
      <c r="Y2133" s="295"/>
      <c r="Z2133" s="295"/>
      <c r="AA2133" s="295"/>
      <c r="AB2133" s="295"/>
      <c r="AC2133" s="295"/>
      <c r="AD2133" s="295"/>
      <c r="AE2133" s="295"/>
      <c r="AF2133" s="295"/>
      <c r="AG2133" s="295"/>
      <c r="AH2133" s="295"/>
      <c r="AI2133" s="295"/>
      <c r="AJ2133" s="295"/>
    </row>
    <row r="2134" spans="1:36" s="291" customFormat="1" ht="16.2">
      <c r="A2134" s="304"/>
      <c r="B2134" s="289"/>
      <c r="C2134" s="290"/>
      <c r="E2134" s="453"/>
      <c r="G2134" s="454"/>
      <c r="I2134" s="295"/>
      <c r="J2134" s="295"/>
      <c r="K2134" s="295"/>
      <c r="L2134" s="295"/>
      <c r="M2134" s="302"/>
      <c r="N2134" s="302"/>
      <c r="O2134" s="303"/>
      <c r="P2134" s="295"/>
      <c r="Q2134" s="295"/>
      <c r="R2134" s="295"/>
      <c r="S2134" s="295"/>
      <c r="T2134" s="295"/>
      <c r="U2134" s="295"/>
      <c r="V2134" s="295"/>
      <c r="W2134" s="295"/>
      <c r="X2134" s="295"/>
      <c r="Y2134" s="295"/>
      <c r="Z2134" s="295"/>
      <c r="AA2134" s="295"/>
      <c r="AB2134" s="295"/>
      <c r="AC2134" s="295"/>
      <c r="AD2134" s="295"/>
      <c r="AE2134" s="295"/>
      <c r="AF2134" s="295"/>
      <c r="AG2134" s="295"/>
      <c r="AH2134" s="295"/>
      <c r="AI2134" s="295"/>
      <c r="AJ2134" s="295"/>
    </row>
    <row r="2135" spans="1:36" s="291" customFormat="1" ht="16.2">
      <c r="A2135" s="304"/>
      <c r="B2135" s="289"/>
      <c r="C2135" s="290"/>
      <c r="E2135" s="453"/>
      <c r="G2135" s="454"/>
      <c r="I2135" s="295"/>
      <c r="J2135" s="295"/>
      <c r="K2135" s="295"/>
      <c r="L2135" s="295"/>
      <c r="M2135" s="302"/>
      <c r="N2135" s="302"/>
      <c r="O2135" s="303"/>
      <c r="P2135" s="295"/>
      <c r="Q2135" s="295"/>
      <c r="R2135" s="295"/>
      <c r="S2135" s="295"/>
      <c r="T2135" s="295"/>
      <c r="U2135" s="295"/>
      <c r="V2135" s="295"/>
      <c r="W2135" s="295"/>
      <c r="X2135" s="295"/>
      <c r="Y2135" s="295"/>
      <c r="Z2135" s="295"/>
      <c r="AA2135" s="295"/>
      <c r="AB2135" s="295"/>
      <c r="AC2135" s="295"/>
      <c r="AD2135" s="295"/>
      <c r="AE2135" s="295"/>
      <c r="AF2135" s="295"/>
      <c r="AG2135" s="295"/>
      <c r="AH2135" s="295"/>
      <c r="AI2135" s="295"/>
      <c r="AJ2135" s="295"/>
    </row>
    <row r="2136" spans="1:36" s="291" customFormat="1" ht="16.2">
      <c r="A2136" s="304"/>
      <c r="B2136" s="289"/>
      <c r="C2136" s="290"/>
      <c r="E2136" s="453"/>
      <c r="G2136" s="454"/>
      <c r="I2136" s="295"/>
      <c r="J2136" s="295"/>
      <c r="K2136" s="295"/>
      <c r="L2136" s="295"/>
      <c r="M2136" s="302"/>
      <c r="N2136" s="302"/>
      <c r="O2136" s="303"/>
      <c r="P2136" s="295"/>
      <c r="Q2136" s="295"/>
      <c r="R2136" s="295"/>
      <c r="S2136" s="295"/>
      <c r="T2136" s="295"/>
      <c r="U2136" s="295"/>
      <c r="V2136" s="295"/>
      <c r="W2136" s="295"/>
      <c r="X2136" s="295"/>
      <c r="Y2136" s="295"/>
      <c r="Z2136" s="295"/>
      <c r="AA2136" s="295"/>
      <c r="AB2136" s="295"/>
      <c r="AC2136" s="295"/>
      <c r="AD2136" s="295"/>
      <c r="AE2136" s="295"/>
      <c r="AF2136" s="295"/>
      <c r="AG2136" s="295"/>
      <c r="AH2136" s="295"/>
      <c r="AI2136" s="295"/>
      <c r="AJ2136" s="295"/>
    </row>
    <row r="2137" spans="1:36" s="291" customFormat="1" ht="16.2">
      <c r="A2137" s="304"/>
      <c r="B2137" s="289"/>
      <c r="C2137" s="290"/>
      <c r="E2137" s="453"/>
      <c r="G2137" s="454"/>
      <c r="I2137" s="295"/>
      <c r="J2137" s="295"/>
      <c r="K2137" s="295"/>
      <c r="L2137" s="295"/>
      <c r="M2137" s="302"/>
      <c r="N2137" s="302"/>
      <c r="O2137" s="303"/>
      <c r="P2137" s="295"/>
      <c r="Q2137" s="295"/>
      <c r="R2137" s="295"/>
      <c r="S2137" s="295"/>
      <c r="T2137" s="295"/>
      <c r="U2137" s="295"/>
      <c r="V2137" s="295"/>
      <c r="W2137" s="295"/>
      <c r="X2137" s="295"/>
      <c r="Y2137" s="295"/>
      <c r="Z2137" s="295"/>
      <c r="AA2137" s="295"/>
      <c r="AB2137" s="295"/>
      <c r="AC2137" s="295"/>
      <c r="AD2137" s="295"/>
      <c r="AE2137" s="295"/>
      <c r="AF2137" s="295"/>
      <c r="AG2137" s="295"/>
      <c r="AH2137" s="295"/>
      <c r="AI2137" s="295"/>
      <c r="AJ2137" s="295"/>
    </row>
    <row r="2138" spans="1:36" s="291" customFormat="1" ht="16.2">
      <c r="A2138" s="304"/>
      <c r="B2138" s="289"/>
      <c r="C2138" s="290"/>
      <c r="E2138" s="453"/>
      <c r="G2138" s="454"/>
      <c r="I2138" s="295"/>
      <c r="J2138" s="295"/>
      <c r="K2138" s="295"/>
      <c r="L2138" s="295"/>
      <c r="M2138" s="302"/>
      <c r="N2138" s="302"/>
      <c r="O2138" s="303"/>
      <c r="P2138" s="295"/>
      <c r="Q2138" s="295"/>
      <c r="R2138" s="295"/>
      <c r="S2138" s="295"/>
      <c r="T2138" s="295"/>
      <c r="U2138" s="295"/>
      <c r="V2138" s="295"/>
      <c r="W2138" s="295"/>
      <c r="X2138" s="295"/>
      <c r="Y2138" s="295"/>
      <c r="Z2138" s="295"/>
      <c r="AA2138" s="295"/>
      <c r="AB2138" s="295"/>
      <c r="AC2138" s="295"/>
      <c r="AD2138" s="295"/>
      <c r="AE2138" s="295"/>
      <c r="AF2138" s="295"/>
      <c r="AG2138" s="295"/>
      <c r="AH2138" s="295"/>
      <c r="AI2138" s="295"/>
      <c r="AJ2138" s="295"/>
    </row>
    <row r="2139" spans="1:36" s="291" customFormat="1" ht="16.2">
      <c r="A2139" s="304"/>
      <c r="B2139" s="289"/>
      <c r="C2139" s="290"/>
      <c r="E2139" s="453"/>
      <c r="G2139" s="454"/>
      <c r="I2139" s="295"/>
      <c r="J2139" s="295"/>
      <c r="K2139" s="295"/>
      <c r="L2139" s="295"/>
      <c r="M2139" s="302"/>
      <c r="N2139" s="302"/>
      <c r="O2139" s="303"/>
      <c r="P2139" s="295"/>
      <c r="Q2139" s="295"/>
      <c r="R2139" s="295"/>
      <c r="S2139" s="295"/>
      <c r="T2139" s="295"/>
      <c r="U2139" s="295"/>
      <c r="V2139" s="295"/>
      <c r="W2139" s="295"/>
      <c r="X2139" s="295"/>
      <c r="Y2139" s="295"/>
      <c r="Z2139" s="295"/>
      <c r="AA2139" s="295"/>
      <c r="AB2139" s="295"/>
      <c r="AC2139" s="295"/>
      <c r="AD2139" s="295"/>
      <c r="AE2139" s="295"/>
      <c r="AF2139" s="295"/>
      <c r="AG2139" s="295"/>
      <c r="AH2139" s="295"/>
      <c r="AI2139" s="295"/>
      <c r="AJ2139" s="295"/>
    </row>
    <row r="2140" spans="1:36" s="291" customFormat="1" ht="16.2">
      <c r="A2140" s="304"/>
      <c r="B2140" s="289"/>
      <c r="C2140" s="290"/>
      <c r="E2140" s="453"/>
      <c r="G2140" s="454"/>
      <c r="I2140" s="295"/>
      <c r="J2140" s="295"/>
      <c r="K2140" s="295"/>
      <c r="L2140" s="295"/>
      <c r="M2140" s="302"/>
      <c r="N2140" s="302"/>
      <c r="O2140" s="303"/>
      <c r="P2140" s="295"/>
      <c r="Q2140" s="295"/>
      <c r="R2140" s="295"/>
      <c r="S2140" s="295"/>
      <c r="T2140" s="295"/>
      <c r="U2140" s="295"/>
      <c r="V2140" s="295"/>
      <c r="W2140" s="295"/>
      <c r="X2140" s="295"/>
      <c r="Y2140" s="295"/>
      <c r="Z2140" s="295"/>
      <c r="AA2140" s="295"/>
      <c r="AB2140" s="295"/>
      <c r="AC2140" s="295"/>
      <c r="AD2140" s="295"/>
      <c r="AE2140" s="295"/>
      <c r="AF2140" s="295"/>
      <c r="AG2140" s="295"/>
      <c r="AH2140" s="295"/>
      <c r="AI2140" s="295"/>
      <c r="AJ2140" s="295"/>
    </row>
    <row r="2141" spans="1:36" s="291" customFormat="1" ht="16.2">
      <c r="A2141" s="304"/>
      <c r="B2141" s="289"/>
      <c r="C2141" s="290"/>
      <c r="E2141" s="453"/>
      <c r="G2141" s="454"/>
      <c r="I2141" s="295"/>
      <c r="J2141" s="295"/>
      <c r="K2141" s="295"/>
      <c r="L2141" s="295"/>
      <c r="M2141" s="302"/>
      <c r="N2141" s="302"/>
      <c r="O2141" s="303"/>
      <c r="P2141" s="295"/>
      <c r="Q2141" s="295"/>
      <c r="R2141" s="295"/>
      <c r="S2141" s="295"/>
      <c r="T2141" s="295"/>
      <c r="U2141" s="295"/>
      <c r="V2141" s="295"/>
      <c r="W2141" s="295"/>
      <c r="X2141" s="295"/>
      <c r="Y2141" s="295"/>
      <c r="Z2141" s="295"/>
      <c r="AA2141" s="295"/>
      <c r="AB2141" s="295"/>
      <c r="AC2141" s="295"/>
      <c r="AD2141" s="295"/>
      <c r="AE2141" s="295"/>
      <c r="AF2141" s="295"/>
      <c r="AG2141" s="295"/>
      <c r="AH2141" s="295"/>
      <c r="AI2141" s="295"/>
      <c r="AJ2141" s="295"/>
    </row>
    <row r="2142" spans="1:36" s="291" customFormat="1" ht="16.2">
      <c r="A2142" s="304"/>
      <c r="B2142" s="289"/>
      <c r="C2142" s="290"/>
      <c r="E2142" s="453"/>
      <c r="G2142" s="454"/>
      <c r="I2142" s="295"/>
      <c r="J2142" s="295"/>
      <c r="K2142" s="295"/>
      <c r="L2142" s="295"/>
      <c r="M2142" s="302"/>
      <c r="N2142" s="302"/>
      <c r="O2142" s="303"/>
      <c r="P2142" s="295"/>
      <c r="Q2142" s="295"/>
      <c r="R2142" s="295"/>
      <c r="S2142" s="295"/>
      <c r="T2142" s="295"/>
      <c r="U2142" s="295"/>
      <c r="V2142" s="295"/>
      <c r="W2142" s="295"/>
      <c r="X2142" s="295"/>
      <c r="Y2142" s="295"/>
      <c r="Z2142" s="295"/>
      <c r="AA2142" s="295"/>
      <c r="AB2142" s="295"/>
      <c r="AC2142" s="295"/>
      <c r="AD2142" s="295"/>
      <c r="AE2142" s="295"/>
      <c r="AF2142" s="295"/>
      <c r="AG2142" s="295"/>
      <c r="AH2142" s="295"/>
      <c r="AI2142" s="295"/>
      <c r="AJ2142" s="295"/>
    </row>
    <row r="2143" spans="1:36" s="291" customFormat="1" ht="16.2">
      <c r="A2143" s="304"/>
      <c r="B2143" s="289"/>
      <c r="C2143" s="290"/>
      <c r="E2143" s="453"/>
      <c r="G2143" s="454"/>
      <c r="I2143" s="295"/>
      <c r="J2143" s="295"/>
      <c r="K2143" s="295"/>
      <c r="L2143" s="295"/>
      <c r="M2143" s="302"/>
      <c r="N2143" s="302"/>
      <c r="O2143" s="303"/>
      <c r="P2143" s="295"/>
      <c r="Q2143" s="295"/>
      <c r="R2143" s="295"/>
      <c r="S2143" s="295"/>
      <c r="T2143" s="295"/>
      <c r="U2143" s="295"/>
      <c r="V2143" s="295"/>
      <c r="W2143" s="295"/>
      <c r="X2143" s="295"/>
      <c r="Y2143" s="295"/>
      <c r="Z2143" s="295"/>
      <c r="AA2143" s="295"/>
      <c r="AB2143" s="295"/>
      <c r="AC2143" s="295"/>
      <c r="AD2143" s="295"/>
      <c r="AE2143" s="295"/>
      <c r="AF2143" s="295"/>
      <c r="AG2143" s="295"/>
      <c r="AH2143" s="295"/>
      <c r="AI2143" s="295"/>
      <c r="AJ2143" s="295"/>
    </row>
    <row r="2144" spans="1:36" s="291" customFormat="1" ht="16.2">
      <c r="A2144" s="304"/>
      <c r="B2144" s="289"/>
      <c r="C2144" s="290"/>
      <c r="E2144" s="453"/>
      <c r="G2144" s="454"/>
      <c r="I2144" s="295"/>
      <c r="J2144" s="295"/>
      <c r="K2144" s="295"/>
      <c r="L2144" s="295"/>
      <c r="M2144" s="302"/>
      <c r="N2144" s="302"/>
      <c r="O2144" s="303"/>
      <c r="P2144" s="295"/>
      <c r="Q2144" s="295"/>
      <c r="R2144" s="295"/>
      <c r="S2144" s="295"/>
      <c r="T2144" s="295"/>
      <c r="U2144" s="295"/>
      <c r="V2144" s="295"/>
      <c r="W2144" s="295"/>
      <c r="X2144" s="295"/>
      <c r="Y2144" s="295"/>
      <c r="Z2144" s="295"/>
      <c r="AA2144" s="295"/>
      <c r="AB2144" s="295"/>
      <c r="AC2144" s="295"/>
      <c r="AD2144" s="295"/>
      <c r="AE2144" s="295"/>
      <c r="AF2144" s="295"/>
      <c r="AG2144" s="295"/>
      <c r="AH2144" s="295"/>
      <c r="AI2144" s="295"/>
      <c r="AJ2144" s="295"/>
    </row>
    <row r="2145" spans="1:36" s="291" customFormat="1" ht="16.2">
      <c r="A2145" s="304"/>
      <c r="B2145" s="289"/>
      <c r="C2145" s="290"/>
      <c r="E2145" s="453"/>
      <c r="G2145" s="454"/>
      <c r="I2145" s="295"/>
      <c r="J2145" s="295"/>
      <c r="K2145" s="295"/>
      <c r="L2145" s="295"/>
      <c r="M2145" s="302"/>
      <c r="N2145" s="302"/>
      <c r="O2145" s="303"/>
      <c r="P2145" s="295"/>
      <c r="Q2145" s="295"/>
      <c r="R2145" s="295"/>
      <c r="S2145" s="295"/>
      <c r="T2145" s="295"/>
      <c r="U2145" s="295"/>
      <c r="V2145" s="295"/>
      <c r="W2145" s="295"/>
      <c r="X2145" s="295"/>
      <c r="Y2145" s="295"/>
      <c r="Z2145" s="295"/>
      <c r="AA2145" s="295"/>
      <c r="AB2145" s="295"/>
      <c r="AC2145" s="295"/>
      <c r="AD2145" s="295"/>
      <c r="AE2145" s="295"/>
      <c r="AF2145" s="295"/>
      <c r="AG2145" s="295"/>
      <c r="AH2145" s="295"/>
      <c r="AI2145" s="295"/>
      <c r="AJ2145" s="295"/>
    </row>
    <row r="2146" spans="1:36" s="291" customFormat="1" ht="16.2">
      <c r="A2146" s="304"/>
      <c r="B2146" s="289"/>
      <c r="C2146" s="290"/>
      <c r="E2146" s="453"/>
      <c r="G2146" s="454"/>
      <c r="I2146" s="295"/>
      <c r="J2146" s="295"/>
      <c r="K2146" s="295"/>
      <c r="L2146" s="295"/>
      <c r="M2146" s="302"/>
      <c r="N2146" s="302"/>
      <c r="O2146" s="303"/>
      <c r="P2146" s="295"/>
      <c r="Q2146" s="295"/>
      <c r="R2146" s="295"/>
      <c r="S2146" s="295"/>
      <c r="T2146" s="295"/>
      <c r="U2146" s="295"/>
      <c r="V2146" s="295"/>
      <c r="W2146" s="295"/>
      <c r="X2146" s="295"/>
      <c r="Y2146" s="295"/>
      <c r="Z2146" s="295"/>
      <c r="AA2146" s="295"/>
      <c r="AB2146" s="295"/>
      <c r="AC2146" s="295"/>
      <c r="AD2146" s="295"/>
      <c r="AE2146" s="295"/>
      <c r="AF2146" s="295"/>
      <c r="AG2146" s="295"/>
      <c r="AH2146" s="295"/>
      <c r="AI2146" s="295"/>
      <c r="AJ2146" s="295"/>
    </row>
    <row r="2147" spans="1:36" s="291" customFormat="1" ht="16.2">
      <c r="A2147" s="304"/>
      <c r="B2147" s="289"/>
      <c r="C2147" s="290"/>
      <c r="E2147" s="453"/>
      <c r="G2147" s="454"/>
      <c r="I2147" s="295"/>
      <c r="J2147" s="295"/>
      <c r="K2147" s="295"/>
      <c r="L2147" s="295"/>
      <c r="M2147" s="302"/>
      <c r="N2147" s="302"/>
      <c r="O2147" s="303"/>
      <c r="P2147" s="295"/>
      <c r="Q2147" s="295"/>
      <c r="R2147" s="295"/>
      <c r="S2147" s="295"/>
      <c r="T2147" s="295"/>
      <c r="U2147" s="295"/>
      <c r="V2147" s="295"/>
      <c r="W2147" s="295"/>
      <c r="X2147" s="295"/>
      <c r="Y2147" s="295"/>
      <c r="Z2147" s="295"/>
      <c r="AA2147" s="295"/>
      <c r="AB2147" s="295"/>
      <c r="AC2147" s="295"/>
      <c r="AD2147" s="295"/>
      <c r="AE2147" s="295"/>
      <c r="AF2147" s="295"/>
      <c r="AG2147" s="295"/>
      <c r="AH2147" s="295"/>
      <c r="AI2147" s="295"/>
      <c r="AJ2147" s="295"/>
    </row>
    <row r="2148" spans="1:36" s="291" customFormat="1" ht="16.2">
      <c r="A2148" s="304"/>
      <c r="B2148" s="289"/>
      <c r="C2148" s="290"/>
      <c r="E2148" s="453"/>
      <c r="G2148" s="454"/>
      <c r="I2148" s="295"/>
      <c r="J2148" s="295"/>
      <c r="K2148" s="295"/>
      <c r="L2148" s="295"/>
      <c r="M2148" s="302"/>
      <c r="N2148" s="302"/>
      <c r="O2148" s="303"/>
      <c r="P2148" s="295"/>
      <c r="Q2148" s="295"/>
      <c r="R2148" s="295"/>
      <c r="S2148" s="295"/>
      <c r="T2148" s="295"/>
      <c r="U2148" s="295"/>
      <c r="V2148" s="295"/>
      <c r="W2148" s="295"/>
      <c r="X2148" s="295"/>
      <c r="Y2148" s="295"/>
      <c r="Z2148" s="295"/>
      <c r="AA2148" s="295"/>
      <c r="AB2148" s="295"/>
      <c r="AC2148" s="295"/>
      <c r="AD2148" s="295"/>
      <c r="AE2148" s="295"/>
      <c r="AF2148" s="295"/>
      <c r="AG2148" s="295"/>
      <c r="AH2148" s="295"/>
      <c r="AI2148" s="295"/>
      <c r="AJ2148" s="295"/>
    </row>
    <row r="2149" spans="1:36" s="291" customFormat="1" ht="16.2">
      <c r="A2149" s="304"/>
      <c r="B2149" s="289"/>
      <c r="C2149" s="290"/>
      <c r="E2149" s="453"/>
      <c r="G2149" s="454"/>
      <c r="I2149" s="295"/>
      <c r="J2149" s="295"/>
      <c r="K2149" s="295"/>
      <c r="L2149" s="295"/>
      <c r="M2149" s="302"/>
      <c r="N2149" s="302"/>
      <c r="O2149" s="303"/>
      <c r="P2149" s="295"/>
      <c r="Q2149" s="295"/>
      <c r="R2149" s="295"/>
      <c r="S2149" s="295"/>
      <c r="T2149" s="295"/>
      <c r="U2149" s="295"/>
      <c r="V2149" s="295"/>
      <c r="W2149" s="295"/>
      <c r="X2149" s="295"/>
      <c r="Y2149" s="295"/>
      <c r="Z2149" s="295"/>
      <c r="AA2149" s="295"/>
      <c r="AB2149" s="295"/>
      <c r="AC2149" s="295"/>
      <c r="AD2149" s="295"/>
      <c r="AE2149" s="295"/>
      <c r="AF2149" s="295"/>
      <c r="AG2149" s="295"/>
      <c r="AH2149" s="295"/>
      <c r="AI2149" s="295"/>
      <c r="AJ2149" s="295"/>
    </row>
    <row r="2150" spans="1:36" s="291" customFormat="1" ht="16.2">
      <c r="A2150" s="304"/>
      <c r="B2150" s="289"/>
      <c r="C2150" s="290"/>
      <c r="E2150" s="453"/>
      <c r="G2150" s="454"/>
      <c r="I2150" s="295"/>
      <c r="J2150" s="295"/>
      <c r="K2150" s="295"/>
      <c r="L2150" s="295"/>
      <c r="M2150" s="302"/>
      <c r="N2150" s="302"/>
      <c r="O2150" s="303"/>
      <c r="P2150" s="295"/>
      <c r="Q2150" s="295"/>
      <c r="R2150" s="295"/>
      <c r="S2150" s="295"/>
      <c r="T2150" s="295"/>
      <c r="U2150" s="295"/>
      <c r="V2150" s="295"/>
      <c r="W2150" s="295"/>
      <c r="X2150" s="295"/>
      <c r="Y2150" s="295"/>
      <c r="Z2150" s="295"/>
      <c r="AA2150" s="295"/>
      <c r="AB2150" s="295"/>
      <c r="AC2150" s="295"/>
      <c r="AD2150" s="295"/>
      <c r="AE2150" s="295"/>
      <c r="AF2150" s="295"/>
      <c r="AG2150" s="295"/>
      <c r="AH2150" s="295"/>
      <c r="AI2150" s="295"/>
      <c r="AJ2150" s="295"/>
    </row>
    <row r="2151" spans="1:36" s="291" customFormat="1" ht="16.2">
      <c r="A2151" s="304"/>
      <c r="B2151" s="289"/>
      <c r="C2151" s="290"/>
      <c r="E2151" s="453"/>
      <c r="G2151" s="454"/>
      <c r="I2151" s="295"/>
      <c r="J2151" s="295"/>
      <c r="K2151" s="295"/>
      <c r="L2151" s="295"/>
      <c r="M2151" s="302"/>
      <c r="N2151" s="302"/>
      <c r="O2151" s="303"/>
      <c r="P2151" s="295"/>
      <c r="Q2151" s="295"/>
      <c r="R2151" s="295"/>
      <c r="S2151" s="295"/>
      <c r="T2151" s="295"/>
      <c r="U2151" s="295"/>
      <c r="V2151" s="295"/>
      <c r="W2151" s="295"/>
      <c r="X2151" s="295"/>
      <c r="Y2151" s="295"/>
      <c r="Z2151" s="295"/>
      <c r="AA2151" s="295"/>
      <c r="AB2151" s="295"/>
      <c r="AC2151" s="295"/>
      <c r="AD2151" s="295"/>
      <c r="AE2151" s="295"/>
      <c r="AF2151" s="295"/>
      <c r="AG2151" s="295"/>
      <c r="AH2151" s="295"/>
      <c r="AI2151" s="295"/>
      <c r="AJ2151" s="295"/>
    </row>
    <row r="2152" spans="1:36" s="291" customFormat="1" ht="16.2">
      <c r="A2152" s="304"/>
      <c r="B2152" s="289"/>
      <c r="C2152" s="290"/>
      <c r="E2152" s="453"/>
      <c r="G2152" s="454"/>
      <c r="I2152" s="295"/>
      <c r="J2152" s="295"/>
      <c r="K2152" s="295"/>
      <c r="L2152" s="295"/>
      <c r="M2152" s="302"/>
      <c r="N2152" s="302"/>
      <c r="O2152" s="303"/>
      <c r="P2152" s="295"/>
      <c r="Q2152" s="295"/>
      <c r="R2152" s="295"/>
      <c r="S2152" s="295"/>
      <c r="T2152" s="295"/>
      <c r="U2152" s="295"/>
      <c r="V2152" s="295"/>
      <c r="W2152" s="295"/>
      <c r="X2152" s="295"/>
      <c r="Y2152" s="295"/>
      <c r="Z2152" s="295"/>
      <c r="AA2152" s="295"/>
      <c r="AB2152" s="295"/>
      <c r="AC2152" s="295"/>
      <c r="AD2152" s="295"/>
      <c r="AE2152" s="295"/>
      <c r="AF2152" s="295"/>
      <c r="AG2152" s="295"/>
      <c r="AH2152" s="295"/>
      <c r="AI2152" s="295"/>
      <c r="AJ2152" s="295"/>
    </row>
    <row r="2153" spans="1:36" s="291" customFormat="1" ht="16.2">
      <c r="A2153" s="304"/>
      <c r="B2153" s="289"/>
      <c r="C2153" s="290"/>
      <c r="E2153" s="453"/>
      <c r="G2153" s="454"/>
      <c r="I2153" s="295"/>
      <c r="J2153" s="295"/>
      <c r="K2153" s="295"/>
      <c r="L2153" s="295"/>
      <c r="M2153" s="302"/>
      <c r="N2153" s="302"/>
      <c r="O2153" s="303"/>
      <c r="P2153" s="295"/>
      <c r="Q2153" s="295"/>
      <c r="R2153" s="295"/>
      <c r="S2153" s="295"/>
      <c r="T2153" s="295"/>
      <c r="U2153" s="295"/>
      <c r="V2153" s="295"/>
      <c r="W2153" s="295"/>
      <c r="X2153" s="295"/>
      <c r="Y2153" s="295"/>
      <c r="Z2153" s="295"/>
      <c r="AA2153" s="295"/>
      <c r="AB2153" s="295"/>
      <c r="AC2153" s="295"/>
      <c r="AD2153" s="295"/>
      <c r="AE2153" s="295"/>
      <c r="AF2153" s="295"/>
      <c r="AG2153" s="295"/>
      <c r="AH2153" s="295"/>
      <c r="AI2153" s="295"/>
      <c r="AJ2153" s="295"/>
    </row>
    <row r="2154" spans="1:36" s="291" customFormat="1" ht="16.2">
      <c r="A2154" s="304"/>
      <c r="B2154" s="289"/>
      <c r="C2154" s="290"/>
      <c r="E2154" s="453"/>
      <c r="G2154" s="454"/>
      <c r="I2154" s="295"/>
      <c r="J2154" s="295"/>
      <c r="K2154" s="295"/>
      <c r="L2154" s="295"/>
      <c r="M2154" s="302"/>
      <c r="N2154" s="302"/>
      <c r="O2154" s="303"/>
      <c r="P2154" s="295"/>
      <c r="Q2154" s="295"/>
      <c r="R2154" s="295"/>
      <c r="S2154" s="295"/>
      <c r="T2154" s="295"/>
      <c r="U2154" s="295"/>
      <c r="V2154" s="295"/>
      <c r="W2154" s="295"/>
      <c r="X2154" s="295"/>
      <c r="Y2154" s="295"/>
      <c r="Z2154" s="295"/>
      <c r="AA2154" s="295"/>
      <c r="AB2154" s="295"/>
      <c r="AC2154" s="295"/>
      <c r="AD2154" s="295"/>
      <c r="AE2154" s="295"/>
      <c r="AF2154" s="295"/>
      <c r="AG2154" s="295"/>
      <c r="AH2154" s="295"/>
      <c r="AI2154" s="295"/>
      <c r="AJ2154" s="295"/>
    </row>
    <row r="2155" spans="1:36" s="291" customFormat="1" ht="16.2">
      <c r="A2155" s="304"/>
      <c r="B2155" s="289"/>
      <c r="C2155" s="290"/>
      <c r="E2155" s="453"/>
      <c r="G2155" s="454"/>
      <c r="I2155" s="295"/>
      <c r="J2155" s="295"/>
      <c r="K2155" s="295"/>
      <c r="L2155" s="295"/>
      <c r="M2155" s="302"/>
      <c r="N2155" s="302"/>
      <c r="O2155" s="303"/>
      <c r="P2155" s="295"/>
      <c r="Q2155" s="295"/>
      <c r="R2155" s="295"/>
      <c r="S2155" s="295"/>
      <c r="T2155" s="295"/>
      <c r="U2155" s="295"/>
      <c r="V2155" s="295"/>
      <c r="W2155" s="295"/>
      <c r="X2155" s="295"/>
      <c r="Y2155" s="295"/>
      <c r="Z2155" s="295"/>
      <c r="AA2155" s="295"/>
      <c r="AB2155" s="295"/>
      <c r="AC2155" s="295"/>
      <c r="AD2155" s="295"/>
      <c r="AE2155" s="295"/>
      <c r="AF2155" s="295"/>
      <c r="AG2155" s="295"/>
      <c r="AH2155" s="295"/>
      <c r="AI2155" s="295"/>
      <c r="AJ2155" s="295"/>
    </row>
    <row r="2156" spans="1:36" s="291" customFormat="1" ht="16.2">
      <c r="A2156" s="304"/>
      <c r="B2156" s="289"/>
      <c r="C2156" s="290"/>
      <c r="E2156" s="453"/>
      <c r="G2156" s="454"/>
      <c r="I2156" s="295"/>
      <c r="J2156" s="295"/>
      <c r="K2156" s="295"/>
      <c r="L2156" s="295"/>
      <c r="M2156" s="302"/>
      <c r="N2156" s="302"/>
      <c r="O2156" s="303"/>
      <c r="P2156" s="295"/>
      <c r="Q2156" s="295"/>
      <c r="R2156" s="295"/>
      <c r="S2156" s="295"/>
      <c r="T2156" s="295"/>
      <c r="U2156" s="295"/>
      <c r="V2156" s="295"/>
      <c r="W2156" s="295"/>
      <c r="X2156" s="295"/>
      <c r="Y2156" s="295"/>
      <c r="Z2156" s="295"/>
      <c r="AA2156" s="295"/>
      <c r="AB2156" s="295"/>
      <c r="AC2156" s="295"/>
      <c r="AD2156" s="295"/>
      <c r="AE2156" s="295"/>
      <c r="AF2156" s="295"/>
      <c r="AG2156" s="295"/>
      <c r="AH2156" s="295"/>
      <c r="AI2156" s="295"/>
      <c r="AJ2156" s="295"/>
    </row>
    <row r="2157" spans="1:36" s="291" customFormat="1" ht="16.2">
      <c r="A2157" s="304"/>
      <c r="B2157" s="289"/>
      <c r="C2157" s="290"/>
      <c r="E2157" s="453"/>
      <c r="G2157" s="454"/>
      <c r="I2157" s="295"/>
      <c r="J2157" s="295"/>
      <c r="K2157" s="295"/>
      <c r="L2157" s="295"/>
      <c r="M2157" s="302"/>
      <c r="N2157" s="302"/>
      <c r="O2157" s="303"/>
      <c r="P2157" s="295"/>
      <c r="Q2157" s="295"/>
      <c r="R2157" s="295"/>
      <c r="S2157" s="295"/>
      <c r="T2157" s="295"/>
      <c r="U2157" s="295"/>
      <c r="V2157" s="295"/>
      <c r="W2157" s="295"/>
      <c r="X2157" s="295"/>
      <c r="Y2157" s="295"/>
      <c r="Z2157" s="295"/>
      <c r="AA2157" s="295"/>
      <c r="AB2157" s="295"/>
      <c r="AC2157" s="295"/>
      <c r="AD2157" s="295"/>
      <c r="AE2157" s="295"/>
      <c r="AF2157" s="295"/>
      <c r="AG2157" s="295"/>
      <c r="AH2157" s="295"/>
      <c r="AI2157" s="295"/>
      <c r="AJ2157" s="295"/>
    </row>
    <row r="2158" spans="1:36" s="291" customFormat="1" ht="16.2">
      <c r="A2158" s="304"/>
      <c r="B2158" s="289"/>
      <c r="C2158" s="290"/>
      <c r="E2158" s="453"/>
      <c r="G2158" s="454"/>
      <c r="I2158" s="295"/>
      <c r="J2158" s="295"/>
      <c r="K2158" s="295"/>
      <c r="L2158" s="295"/>
      <c r="M2158" s="302"/>
      <c r="N2158" s="302"/>
      <c r="O2158" s="303"/>
      <c r="P2158" s="295"/>
      <c r="Q2158" s="295"/>
      <c r="R2158" s="295"/>
      <c r="S2158" s="295"/>
      <c r="T2158" s="295"/>
      <c r="U2158" s="295"/>
      <c r="V2158" s="295"/>
      <c r="W2158" s="295"/>
      <c r="X2158" s="295"/>
      <c r="Y2158" s="295"/>
      <c r="Z2158" s="295"/>
      <c r="AA2158" s="295"/>
      <c r="AB2158" s="295"/>
      <c r="AC2158" s="295"/>
      <c r="AD2158" s="295"/>
      <c r="AE2158" s="295"/>
      <c r="AF2158" s="295"/>
      <c r="AG2158" s="295"/>
      <c r="AH2158" s="295"/>
      <c r="AI2158" s="295"/>
      <c r="AJ2158" s="295"/>
    </row>
    <row r="2159" spans="1:36" s="291" customFormat="1" ht="16.2">
      <c r="A2159" s="304"/>
      <c r="B2159" s="289"/>
      <c r="C2159" s="290"/>
      <c r="E2159" s="453"/>
      <c r="G2159" s="454"/>
      <c r="I2159" s="295"/>
      <c r="J2159" s="295"/>
      <c r="K2159" s="295"/>
      <c r="L2159" s="295"/>
      <c r="M2159" s="302"/>
      <c r="N2159" s="302"/>
      <c r="O2159" s="303"/>
      <c r="P2159" s="295"/>
      <c r="Q2159" s="295"/>
      <c r="R2159" s="295"/>
      <c r="S2159" s="295"/>
      <c r="T2159" s="295"/>
      <c r="U2159" s="295"/>
      <c r="V2159" s="295"/>
      <c r="W2159" s="295"/>
      <c r="X2159" s="295"/>
      <c r="Y2159" s="295"/>
      <c r="Z2159" s="295"/>
      <c r="AA2159" s="295"/>
      <c r="AB2159" s="295"/>
      <c r="AC2159" s="295"/>
      <c r="AD2159" s="295"/>
      <c r="AE2159" s="295"/>
      <c r="AF2159" s="295"/>
      <c r="AG2159" s="295"/>
      <c r="AH2159" s="295"/>
      <c r="AI2159" s="295"/>
      <c r="AJ2159" s="295"/>
    </row>
    <row r="2160" spans="1:36" s="291" customFormat="1" ht="16.2">
      <c r="A2160" s="304"/>
      <c r="B2160" s="289"/>
      <c r="C2160" s="290"/>
      <c r="E2160" s="453"/>
      <c r="G2160" s="454"/>
      <c r="I2160" s="295"/>
      <c r="J2160" s="295"/>
      <c r="K2160" s="295"/>
      <c r="L2160" s="295"/>
      <c r="M2160" s="302"/>
      <c r="N2160" s="302"/>
      <c r="O2160" s="303"/>
      <c r="P2160" s="295"/>
      <c r="Q2160" s="295"/>
      <c r="R2160" s="295"/>
      <c r="S2160" s="295"/>
      <c r="T2160" s="295"/>
      <c r="U2160" s="295"/>
      <c r="V2160" s="295"/>
      <c r="W2160" s="295"/>
      <c r="X2160" s="295"/>
      <c r="Y2160" s="295"/>
      <c r="Z2160" s="295"/>
      <c r="AA2160" s="295"/>
      <c r="AB2160" s="295"/>
      <c r="AC2160" s="295"/>
      <c r="AD2160" s="295"/>
      <c r="AE2160" s="295"/>
      <c r="AF2160" s="295"/>
      <c r="AG2160" s="295"/>
      <c r="AH2160" s="295"/>
      <c r="AI2160" s="295"/>
      <c r="AJ2160" s="295"/>
    </row>
    <row r="2161" spans="1:36" s="291" customFormat="1" ht="16.2">
      <c r="A2161" s="304"/>
      <c r="B2161" s="289"/>
      <c r="C2161" s="290"/>
      <c r="E2161" s="453"/>
      <c r="G2161" s="454"/>
      <c r="I2161" s="295"/>
      <c r="J2161" s="295"/>
      <c r="K2161" s="295"/>
      <c r="L2161" s="295"/>
      <c r="M2161" s="302"/>
      <c r="N2161" s="302"/>
      <c r="O2161" s="303"/>
      <c r="P2161" s="295"/>
      <c r="Q2161" s="295"/>
      <c r="R2161" s="295"/>
      <c r="S2161" s="295"/>
      <c r="T2161" s="295"/>
      <c r="U2161" s="295"/>
      <c r="V2161" s="295"/>
      <c r="W2161" s="295"/>
      <c r="X2161" s="295"/>
      <c r="Y2161" s="295"/>
      <c r="Z2161" s="295"/>
      <c r="AA2161" s="295"/>
      <c r="AB2161" s="295"/>
      <c r="AC2161" s="295"/>
      <c r="AD2161" s="295"/>
      <c r="AE2161" s="295"/>
      <c r="AF2161" s="295"/>
      <c r="AG2161" s="295"/>
      <c r="AH2161" s="295"/>
      <c r="AI2161" s="295"/>
      <c r="AJ2161" s="295"/>
    </row>
    <row r="2162" spans="1:36" s="291" customFormat="1" ht="16.2">
      <c r="A2162" s="304"/>
      <c r="B2162" s="289"/>
      <c r="C2162" s="290"/>
      <c r="E2162" s="453"/>
      <c r="G2162" s="454"/>
      <c r="I2162" s="295"/>
      <c r="J2162" s="295"/>
      <c r="K2162" s="295"/>
      <c r="L2162" s="295"/>
      <c r="M2162" s="302"/>
      <c r="N2162" s="302"/>
      <c r="O2162" s="303"/>
      <c r="P2162" s="295"/>
      <c r="Q2162" s="295"/>
      <c r="R2162" s="295"/>
      <c r="S2162" s="295"/>
      <c r="T2162" s="295"/>
      <c r="U2162" s="295"/>
      <c r="V2162" s="295"/>
      <c r="W2162" s="295"/>
      <c r="X2162" s="295"/>
      <c r="Y2162" s="295"/>
      <c r="Z2162" s="295"/>
      <c r="AA2162" s="295"/>
      <c r="AB2162" s="295"/>
      <c r="AC2162" s="295"/>
      <c r="AD2162" s="295"/>
      <c r="AE2162" s="295"/>
      <c r="AF2162" s="295"/>
      <c r="AG2162" s="295"/>
      <c r="AH2162" s="295"/>
      <c r="AI2162" s="295"/>
      <c r="AJ2162" s="295"/>
    </row>
    <row r="2163" spans="1:36" s="291" customFormat="1" ht="16.2">
      <c r="A2163" s="304"/>
      <c r="B2163" s="289"/>
      <c r="C2163" s="290"/>
      <c r="E2163" s="453"/>
      <c r="G2163" s="454"/>
      <c r="I2163" s="295"/>
      <c r="J2163" s="295"/>
      <c r="K2163" s="295"/>
      <c r="L2163" s="295"/>
      <c r="M2163" s="302"/>
      <c r="N2163" s="302"/>
      <c r="O2163" s="303"/>
      <c r="P2163" s="295"/>
      <c r="Q2163" s="295"/>
      <c r="R2163" s="295"/>
      <c r="S2163" s="295"/>
      <c r="T2163" s="295"/>
      <c r="U2163" s="295"/>
      <c r="V2163" s="295"/>
      <c r="W2163" s="295"/>
      <c r="X2163" s="295"/>
      <c r="Y2163" s="295"/>
      <c r="Z2163" s="295"/>
      <c r="AA2163" s="295"/>
      <c r="AB2163" s="295"/>
      <c r="AC2163" s="295"/>
      <c r="AD2163" s="295"/>
      <c r="AE2163" s="295"/>
      <c r="AF2163" s="295"/>
      <c r="AG2163" s="295"/>
      <c r="AH2163" s="295"/>
      <c r="AI2163" s="295"/>
      <c r="AJ2163" s="295"/>
    </row>
    <row r="2164" spans="1:36" s="291" customFormat="1" ht="16.2">
      <c r="A2164" s="304"/>
      <c r="B2164" s="289"/>
      <c r="C2164" s="290"/>
      <c r="E2164" s="453"/>
      <c r="G2164" s="454"/>
      <c r="I2164" s="295"/>
      <c r="J2164" s="295"/>
      <c r="K2164" s="295"/>
      <c r="L2164" s="295"/>
      <c r="M2164" s="302"/>
      <c r="N2164" s="302"/>
      <c r="O2164" s="303"/>
      <c r="P2164" s="295"/>
      <c r="Q2164" s="295"/>
      <c r="R2164" s="295"/>
      <c r="S2164" s="295"/>
      <c r="T2164" s="295"/>
      <c r="U2164" s="295"/>
      <c r="V2164" s="295"/>
      <c r="W2164" s="295"/>
      <c r="X2164" s="295"/>
      <c r="Y2164" s="295"/>
      <c r="Z2164" s="295"/>
      <c r="AA2164" s="295"/>
      <c r="AB2164" s="295"/>
      <c r="AC2164" s="295"/>
      <c r="AD2164" s="295"/>
      <c r="AE2164" s="295"/>
      <c r="AF2164" s="295"/>
      <c r="AG2164" s="295"/>
      <c r="AH2164" s="295"/>
      <c r="AI2164" s="295"/>
      <c r="AJ2164" s="295"/>
    </row>
    <row r="2165" spans="1:36" s="291" customFormat="1" ht="16.2">
      <c r="A2165" s="304"/>
      <c r="B2165" s="289"/>
      <c r="C2165" s="290"/>
      <c r="E2165" s="453"/>
      <c r="G2165" s="454"/>
      <c r="I2165" s="295"/>
      <c r="J2165" s="295"/>
      <c r="K2165" s="295"/>
      <c r="L2165" s="295"/>
      <c r="M2165" s="302"/>
      <c r="N2165" s="302"/>
      <c r="O2165" s="303"/>
      <c r="P2165" s="295"/>
      <c r="Q2165" s="295"/>
      <c r="R2165" s="295"/>
      <c r="S2165" s="295"/>
      <c r="T2165" s="295"/>
      <c r="U2165" s="295"/>
      <c r="V2165" s="295"/>
      <c r="W2165" s="295"/>
      <c r="X2165" s="295"/>
      <c r="Y2165" s="295"/>
      <c r="Z2165" s="295"/>
      <c r="AA2165" s="295"/>
      <c r="AB2165" s="295"/>
      <c r="AC2165" s="295"/>
      <c r="AD2165" s="295"/>
      <c r="AE2165" s="295"/>
      <c r="AF2165" s="295"/>
      <c r="AG2165" s="295"/>
      <c r="AH2165" s="295"/>
      <c r="AI2165" s="295"/>
      <c r="AJ2165" s="295"/>
    </row>
    <row r="2166" spans="1:36" s="291" customFormat="1" ht="16.2">
      <c r="A2166" s="304"/>
      <c r="B2166" s="289"/>
      <c r="C2166" s="290"/>
      <c r="E2166" s="453"/>
      <c r="G2166" s="454"/>
      <c r="I2166" s="295"/>
      <c r="J2166" s="295"/>
      <c r="K2166" s="295"/>
      <c r="L2166" s="295"/>
      <c r="M2166" s="302"/>
      <c r="N2166" s="302"/>
      <c r="O2166" s="303"/>
      <c r="P2166" s="295"/>
      <c r="Q2166" s="295"/>
      <c r="R2166" s="295"/>
      <c r="S2166" s="295"/>
      <c r="T2166" s="295"/>
      <c r="U2166" s="295"/>
      <c r="V2166" s="295"/>
      <c r="W2166" s="295"/>
      <c r="X2166" s="295"/>
      <c r="Y2166" s="295"/>
      <c r="Z2166" s="295"/>
      <c r="AA2166" s="295"/>
      <c r="AB2166" s="295"/>
      <c r="AC2166" s="295"/>
      <c r="AD2166" s="295"/>
      <c r="AE2166" s="295"/>
      <c r="AF2166" s="295"/>
      <c r="AG2166" s="295"/>
      <c r="AH2166" s="295"/>
      <c r="AI2166" s="295"/>
      <c r="AJ2166" s="295"/>
    </row>
    <row r="2167" spans="1:36" s="291" customFormat="1" ht="16.2">
      <c r="A2167" s="304"/>
      <c r="B2167" s="289"/>
      <c r="C2167" s="290"/>
      <c r="E2167" s="453"/>
      <c r="G2167" s="454"/>
      <c r="I2167" s="295"/>
      <c r="J2167" s="295"/>
      <c r="K2167" s="295"/>
      <c r="L2167" s="295"/>
      <c r="M2167" s="302"/>
      <c r="N2167" s="302"/>
      <c r="O2167" s="303"/>
      <c r="P2167" s="295"/>
      <c r="Q2167" s="295"/>
      <c r="R2167" s="295"/>
      <c r="S2167" s="295"/>
      <c r="T2167" s="295"/>
      <c r="U2167" s="295"/>
      <c r="V2167" s="295"/>
      <c r="W2167" s="295"/>
      <c r="X2167" s="295"/>
      <c r="Y2167" s="295"/>
      <c r="Z2167" s="295"/>
      <c r="AA2167" s="295"/>
      <c r="AB2167" s="295"/>
      <c r="AC2167" s="295"/>
      <c r="AD2167" s="295"/>
      <c r="AE2167" s="295"/>
      <c r="AF2167" s="295"/>
      <c r="AG2167" s="295"/>
      <c r="AH2167" s="295"/>
      <c r="AI2167" s="295"/>
      <c r="AJ2167" s="295"/>
    </row>
    <row r="2168" spans="1:36" s="291" customFormat="1" ht="16.2">
      <c r="A2168" s="304"/>
      <c r="B2168" s="289"/>
      <c r="C2168" s="290"/>
      <c r="E2168" s="453"/>
      <c r="G2168" s="454"/>
      <c r="I2168" s="295"/>
      <c r="J2168" s="295"/>
      <c r="K2168" s="295"/>
      <c r="L2168" s="295"/>
      <c r="M2168" s="302"/>
      <c r="N2168" s="302"/>
      <c r="O2168" s="303"/>
      <c r="P2168" s="295"/>
      <c r="Q2168" s="295"/>
      <c r="R2168" s="295"/>
      <c r="S2168" s="295"/>
      <c r="T2168" s="295"/>
      <c r="U2168" s="295"/>
      <c r="V2168" s="295"/>
      <c r="W2168" s="295"/>
      <c r="X2168" s="295"/>
      <c r="Y2168" s="295"/>
      <c r="Z2168" s="295"/>
      <c r="AA2168" s="295"/>
      <c r="AB2168" s="295"/>
      <c r="AC2168" s="295"/>
      <c r="AD2168" s="295"/>
      <c r="AE2168" s="295"/>
      <c r="AF2168" s="295"/>
      <c r="AG2168" s="295"/>
      <c r="AH2168" s="295"/>
      <c r="AI2168" s="295"/>
      <c r="AJ2168" s="295"/>
    </row>
    <row r="2169" spans="1:36" s="291" customFormat="1" ht="16.2">
      <c r="A2169" s="304"/>
      <c r="B2169" s="289"/>
      <c r="C2169" s="290"/>
      <c r="E2169" s="453"/>
      <c r="G2169" s="454"/>
      <c r="I2169" s="295"/>
      <c r="J2169" s="295"/>
      <c r="K2169" s="295"/>
      <c r="L2169" s="295"/>
      <c r="M2169" s="302"/>
      <c r="N2169" s="302"/>
      <c r="O2169" s="303"/>
      <c r="P2169" s="295"/>
      <c r="Q2169" s="295"/>
      <c r="R2169" s="295"/>
      <c r="S2169" s="295"/>
      <c r="T2169" s="295"/>
      <c r="U2169" s="295"/>
      <c r="V2169" s="295"/>
      <c r="W2169" s="295"/>
      <c r="X2169" s="295"/>
      <c r="Y2169" s="295"/>
      <c r="Z2169" s="295"/>
      <c r="AA2169" s="295"/>
      <c r="AB2169" s="295"/>
      <c r="AC2169" s="295"/>
      <c r="AD2169" s="295"/>
      <c r="AE2169" s="295"/>
      <c r="AF2169" s="295"/>
      <c r="AG2169" s="295"/>
      <c r="AH2169" s="295"/>
      <c r="AI2169" s="295"/>
      <c r="AJ2169" s="295"/>
    </row>
    <row r="2170" spans="1:36" s="291" customFormat="1" ht="16.2">
      <c r="A2170" s="304"/>
      <c r="B2170" s="289"/>
      <c r="C2170" s="290"/>
      <c r="E2170" s="453"/>
      <c r="G2170" s="454"/>
      <c r="I2170" s="295"/>
      <c r="J2170" s="295"/>
      <c r="K2170" s="295"/>
      <c r="L2170" s="295"/>
      <c r="M2170" s="302"/>
      <c r="N2170" s="302"/>
      <c r="O2170" s="303"/>
      <c r="P2170" s="295"/>
      <c r="Q2170" s="295"/>
      <c r="R2170" s="295"/>
      <c r="S2170" s="295"/>
      <c r="T2170" s="295"/>
      <c r="U2170" s="295"/>
      <c r="V2170" s="295"/>
      <c r="W2170" s="295"/>
      <c r="X2170" s="295"/>
      <c r="Y2170" s="295"/>
      <c r="Z2170" s="295"/>
      <c r="AA2170" s="295"/>
      <c r="AB2170" s="295"/>
      <c r="AC2170" s="295"/>
      <c r="AD2170" s="295"/>
      <c r="AE2170" s="295"/>
      <c r="AF2170" s="295"/>
      <c r="AG2170" s="295"/>
      <c r="AH2170" s="295"/>
      <c r="AI2170" s="295"/>
      <c r="AJ2170" s="295"/>
    </row>
    <row r="2171" spans="1:36" s="291" customFormat="1" ht="16.2">
      <c r="A2171" s="304"/>
      <c r="B2171" s="289"/>
      <c r="C2171" s="290"/>
      <c r="E2171" s="453"/>
      <c r="G2171" s="454"/>
      <c r="I2171" s="295"/>
      <c r="J2171" s="295"/>
      <c r="K2171" s="295"/>
      <c r="L2171" s="295"/>
      <c r="M2171" s="302"/>
      <c r="N2171" s="302"/>
      <c r="O2171" s="303"/>
      <c r="P2171" s="295"/>
      <c r="Q2171" s="295"/>
      <c r="R2171" s="295"/>
      <c r="S2171" s="295"/>
      <c r="T2171" s="295"/>
      <c r="U2171" s="295"/>
      <c r="V2171" s="295"/>
      <c r="W2171" s="295"/>
      <c r="X2171" s="295"/>
      <c r="Y2171" s="295"/>
      <c r="Z2171" s="295"/>
      <c r="AA2171" s="295"/>
      <c r="AB2171" s="295"/>
      <c r="AC2171" s="295"/>
      <c r="AD2171" s="295"/>
      <c r="AE2171" s="295"/>
      <c r="AF2171" s="295"/>
      <c r="AG2171" s="295"/>
      <c r="AH2171" s="295"/>
      <c r="AI2171" s="295"/>
      <c r="AJ2171" s="295"/>
    </row>
    <row r="2172" spans="1:36" s="291" customFormat="1" ht="16.2">
      <c r="A2172" s="304"/>
      <c r="B2172" s="289"/>
      <c r="C2172" s="290"/>
      <c r="E2172" s="453"/>
      <c r="G2172" s="454"/>
      <c r="I2172" s="295"/>
      <c r="J2172" s="295"/>
      <c r="K2172" s="295"/>
      <c r="L2172" s="295"/>
      <c r="M2172" s="302"/>
      <c r="N2172" s="302"/>
      <c r="O2172" s="303"/>
      <c r="P2172" s="295"/>
      <c r="Q2172" s="295"/>
      <c r="R2172" s="295"/>
      <c r="S2172" s="295"/>
      <c r="T2172" s="295"/>
      <c r="U2172" s="295"/>
      <c r="V2172" s="295"/>
      <c r="W2172" s="295"/>
      <c r="X2172" s="295"/>
      <c r="Y2172" s="295"/>
      <c r="Z2172" s="295"/>
      <c r="AA2172" s="295"/>
      <c r="AB2172" s="295"/>
      <c r="AC2172" s="295"/>
      <c r="AD2172" s="295"/>
      <c r="AE2172" s="295"/>
      <c r="AF2172" s="295"/>
      <c r="AG2172" s="295"/>
      <c r="AH2172" s="295"/>
      <c r="AI2172" s="295"/>
      <c r="AJ2172" s="295"/>
    </row>
    <row r="2173" spans="1:36" s="291" customFormat="1" ht="16.2">
      <c r="A2173" s="304"/>
      <c r="B2173" s="289"/>
      <c r="C2173" s="290"/>
      <c r="E2173" s="453"/>
      <c r="G2173" s="454"/>
      <c r="I2173" s="295"/>
      <c r="J2173" s="295"/>
      <c r="K2173" s="295"/>
      <c r="L2173" s="295"/>
      <c r="M2173" s="302"/>
      <c r="N2173" s="302"/>
      <c r="O2173" s="303"/>
      <c r="P2173" s="295"/>
      <c r="Q2173" s="295"/>
      <c r="R2173" s="295"/>
      <c r="S2173" s="295"/>
      <c r="T2173" s="295"/>
      <c r="U2173" s="295"/>
      <c r="V2173" s="295"/>
      <c r="W2173" s="295"/>
      <c r="X2173" s="295"/>
      <c r="Y2173" s="295"/>
      <c r="Z2173" s="295"/>
      <c r="AA2173" s="295"/>
      <c r="AB2173" s="295"/>
      <c r="AC2173" s="295"/>
      <c r="AD2173" s="295"/>
      <c r="AE2173" s="295"/>
      <c r="AF2173" s="295"/>
      <c r="AG2173" s="295"/>
      <c r="AH2173" s="295"/>
      <c r="AI2173" s="295"/>
      <c r="AJ2173" s="295"/>
    </row>
    <row r="2174" spans="1:36" s="291" customFormat="1" ht="16.2">
      <c r="A2174" s="304"/>
      <c r="B2174" s="289"/>
      <c r="C2174" s="290"/>
      <c r="E2174" s="453"/>
      <c r="G2174" s="454"/>
      <c r="I2174" s="295"/>
      <c r="J2174" s="295"/>
      <c r="K2174" s="295"/>
      <c r="L2174" s="295"/>
      <c r="M2174" s="302"/>
      <c r="N2174" s="302"/>
      <c r="O2174" s="303"/>
      <c r="P2174" s="295"/>
      <c r="Q2174" s="295"/>
      <c r="R2174" s="295"/>
      <c r="S2174" s="295"/>
      <c r="T2174" s="295"/>
      <c r="U2174" s="295"/>
      <c r="V2174" s="295"/>
      <c r="W2174" s="295"/>
      <c r="X2174" s="295"/>
      <c r="Y2174" s="295"/>
      <c r="Z2174" s="295"/>
      <c r="AA2174" s="295"/>
      <c r="AB2174" s="295"/>
      <c r="AC2174" s="295"/>
      <c r="AD2174" s="295"/>
      <c r="AE2174" s="295"/>
      <c r="AF2174" s="295"/>
      <c r="AG2174" s="295"/>
      <c r="AH2174" s="295"/>
      <c r="AI2174" s="295"/>
      <c r="AJ2174" s="295"/>
    </row>
    <row r="2175" spans="1:36" s="291" customFormat="1" ht="16.2">
      <c r="A2175" s="304"/>
      <c r="B2175" s="289"/>
      <c r="C2175" s="290"/>
      <c r="E2175" s="453"/>
      <c r="G2175" s="454"/>
      <c r="I2175" s="295"/>
      <c r="J2175" s="295"/>
      <c r="K2175" s="295"/>
      <c r="L2175" s="295"/>
      <c r="M2175" s="302"/>
      <c r="N2175" s="302"/>
      <c r="O2175" s="303"/>
      <c r="P2175" s="295"/>
      <c r="Q2175" s="295"/>
      <c r="R2175" s="295"/>
      <c r="S2175" s="295"/>
      <c r="T2175" s="295"/>
      <c r="U2175" s="295"/>
      <c r="V2175" s="295"/>
      <c r="W2175" s="295"/>
      <c r="X2175" s="295"/>
      <c r="Y2175" s="295"/>
      <c r="Z2175" s="295"/>
      <c r="AA2175" s="295"/>
      <c r="AB2175" s="295"/>
      <c r="AC2175" s="295"/>
      <c r="AD2175" s="295"/>
      <c r="AE2175" s="295"/>
      <c r="AF2175" s="295"/>
      <c r="AG2175" s="295"/>
      <c r="AH2175" s="295"/>
      <c r="AI2175" s="295"/>
      <c r="AJ2175" s="295"/>
    </row>
    <row r="2176" spans="1:36" s="291" customFormat="1" ht="16.2">
      <c r="A2176" s="304"/>
      <c r="B2176" s="289"/>
      <c r="C2176" s="290"/>
      <c r="E2176" s="453"/>
      <c r="G2176" s="454"/>
      <c r="I2176" s="295"/>
      <c r="J2176" s="295"/>
      <c r="K2176" s="295"/>
      <c r="L2176" s="295"/>
      <c r="M2176" s="302"/>
      <c r="N2176" s="302"/>
      <c r="O2176" s="303"/>
      <c r="P2176" s="295"/>
      <c r="Q2176" s="295"/>
      <c r="R2176" s="295"/>
      <c r="S2176" s="295"/>
      <c r="T2176" s="295"/>
      <c r="U2176" s="295"/>
      <c r="V2176" s="295"/>
      <c r="W2176" s="295"/>
      <c r="X2176" s="295"/>
      <c r="Y2176" s="295"/>
      <c r="Z2176" s="295"/>
      <c r="AA2176" s="295"/>
      <c r="AB2176" s="295"/>
      <c r="AC2176" s="295"/>
      <c r="AD2176" s="295"/>
      <c r="AE2176" s="295"/>
      <c r="AF2176" s="295"/>
      <c r="AG2176" s="295"/>
      <c r="AH2176" s="295"/>
      <c r="AI2176" s="295"/>
      <c r="AJ2176" s="295"/>
    </row>
    <row r="2177" spans="1:36" s="291" customFormat="1" ht="16.2">
      <c r="A2177" s="304"/>
      <c r="B2177" s="289"/>
      <c r="C2177" s="290"/>
      <c r="E2177" s="453"/>
      <c r="G2177" s="454"/>
      <c r="I2177" s="295"/>
      <c r="J2177" s="295"/>
      <c r="K2177" s="295"/>
      <c r="L2177" s="295"/>
      <c r="M2177" s="302"/>
      <c r="N2177" s="302"/>
      <c r="O2177" s="303"/>
      <c r="P2177" s="295"/>
      <c r="Q2177" s="295"/>
      <c r="R2177" s="295"/>
      <c r="S2177" s="295"/>
      <c r="T2177" s="295"/>
      <c r="U2177" s="295"/>
      <c r="V2177" s="295"/>
      <c r="W2177" s="295"/>
      <c r="X2177" s="295"/>
      <c r="Y2177" s="295"/>
      <c r="Z2177" s="295"/>
      <c r="AA2177" s="295"/>
      <c r="AB2177" s="295"/>
      <c r="AC2177" s="295"/>
      <c r="AD2177" s="295"/>
      <c r="AE2177" s="295"/>
      <c r="AF2177" s="295"/>
      <c r="AG2177" s="295"/>
      <c r="AH2177" s="295"/>
      <c r="AI2177" s="295"/>
      <c r="AJ2177" s="295"/>
    </row>
    <row r="2178" spans="1:36" s="291" customFormat="1" ht="16.2">
      <c r="A2178" s="304"/>
      <c r="B2178" s="289"/>
      <c r="C2178" s="290"/>
      <c r="E2178" s="453"/>
      <c r="G2178" s="454"/>
      <c r="I2178" s="295"/>
      <c r="J2178" s="295"/>
      <c r="K2178" s="295"/>
      <c r="L2178" s="295"/>
      <c r="M2178" s="302"/>
      <c r="N2178" s="302"/>
      <c r="O2178" s="303"/>
      <c r="P2178" s="295"/>
      <c r="Q2178" s="295"/>
      <c r="R2178" s="295"/>
      <c r="S2178" s="295"/>
      <c r="T2178" s="295"/>
      <c r="U2178" s="295"/>
      <c r="V2178" s="295"/>
      <c r="W2178" s="295"/>
      <c r="X2178" s="295"/>
      <c r="Y2178" s="295"/>
      <c r="Z2178" s="295"/>
      <c r="AA2178" s="295"/>
      <c r="AB2178" s="295"/>
      <c r="AC2178" s="295"/>
      <c r="AD2178" s="295"/>
      <c r="AE2178" s="295"/>
      <c r="AF2178" s="295"/>
      <c r="AG2178" s="295"/>
      <c r="AH2178" s="295"/>
      <c r="AI2178" s="295"/>
      <c r="AJ2178" s="295"/>
    </row>
    <row r="2179" spans="1:36" s="291" customFormat="1" ht="16.2">
      <c r="A2179" s="304"/>
      <c r="B2179" s="289"/>
      <c r="C2179" s="290"/>
      <c r="E2179" s="453"/>
      <c r="G2179" s="454"/>
      <c r="I2179" s="295"/>
      <c r="J2179" s="295"/>
      <c r="K2179" s="295"/>
      <c r="L2179" s="295"/>
      <c r="M2179" s="302"/>
      <c r="N2179" s="302"/>
      <c r="O2179" s="303"/>
      <c r="P2179" s="295"/>
      <c r="Q2179" s="295"/>
      <c r="R2179" s="295"/>
      <c r="S2179" s="295"/>
      <c r="T2179" s="295"/>
      <c r="U2179" s="295"/>
      <c r="V2179" s="295"/>
      <c r="W2179" s="295"/>
      <c r="X2179" s="295"/>
      <c r="Y2179" s="295"/>
      <c r="Z2179" s="295"/>
      <c r="AA2179" s="295"/>
      <c r="AB2179" s="295"/>
      <c r="AC2179" s="295"/>
      <c r="AD2179" s="295"/>
      <c r="AE2179" s="295"/>
      <c r="AF2179" s="295"/>
      <c r="AG2179" s="295"/>
      <c r="AH2179" s="295"/>
      <c r="AI2179" s="295"/>
      <c r="AJ2179" s="295"/>
    </row>
    <row r="2180" spans="1:36" s="291" customFormat="1" ht="16.2">
      <c r="A2180" s="304"/>
      <c r="B2180" s="289"/>
      <c r="C2180" s="290"/>
      <c r="E2180" s="453"/>
      <c r="G2180" s="454"/>
      <c r="I2180" s="295"/>
      <c r="J2180" s="295"/>
      <c r="K2180" s="295"/>
      <c r="L2180" s="295"/>
      <c r="M2180" s="302"/>
      <c r="N2180" s="302"/>
      <c r="O2180" s="303"/>
      <c r="P2180" s="295"/>
      <c r="Q2180" s="295"/>
      <c r="R2180" s="295"/>
      <c r="S2180" s="295"/>
      <c r="T2180" s="295"/>
      <c r="U2180" s="295"/>
      <c r="V2180" s="295"/>
      <c r="W2180" s="295"/>
      <c r="X2180" s="295"/>
      <c r="Y2180" s="295"/>
      <c r="Z2180" s="295"/>
      <c r="AA2180" s="295"/>
      <c r="AB2180" s="295"/>
      <c r="AC2180" s="295"/>
      <c r="AD2180" s="295"/>
      <c r="AE2180" s="295"/>
      <c r="AF2180" s="295"/>
      <c r="AG2180" s="295"/>
      <c r="AH2180" s="295"/>
      <c r="AI2180" s="295"/>
      <c r="AJ2180" s="295"/>
    </row>
    <row r="2181" spans="1:36" s="291" customFormat="1" ht="16.2">
      <c r="A2181" s="304"/>
      <c r="B2181" s="289"/>
      <c r="C2181" s="290"/>
      <c r="E2181" s="453"/>
      <c r="G2181" s="454"/>
      <c r="I2181" s="295"/>
      <c r="J2181" s="295"/>
      <c r="K2181" s="295"/>
      <c r="L2181" s="295"/>
      <c r="M2181" s="302"/>
      <c r="N2181" s="302"/>
      <c r="O2181" s="303"/>
      <c r="P2181" s="295"/>
      <c r="Q2181" s="295"/>
      <c r="R2181" s="295"/>
      <c r="S2181" s="295"/>
      <c r="T2181" s="295"/>
      <c r="U2181" s="295"/>
      <c r="V2181" s="295"/>
      <c r="W2181" s="295"/>
      <c r="X2181" s="295"/>
      <c r="Y2181" s="295"/>
      <c r="Z2181" s="295"/>
      <c r="AA2181" s="295"/>
      <c r="AB2181" s="295"/>
      <c r="AC2181" s="295"/>
      <c r="AD2181" s="295"/>
      <c r="AE2181" s="295"/>
      <c r="AF2181" s="295"/>
      <c r="AG2181" s="295"/>
      <c r="AH2181" s="295"/>
      <c r="AI2181" s="295"/>
      <c r="AJ2181" s="295"/>
    </row>
    <row r="2182" spans="1:36" s="291" customFormat="1" ht="16.2">
      <c r="A2182" s="304"/>
      <c r="B2182" s="289"/>
      <c r="C2182" s="290"/>
      <c r="E2182" s="453"/>
      <c r="G2182" s="454"/>
      <c r="I2182" s="295"/>
      <c r="J2182" s="295"/>
      <c r="K2182" s="295"/>
      <c r="L2182" s="295"/>
      <c r="M2182" s="302"/>
      <c r="N2182" s="302"/>
      <c r="O2182" s="303"/>
      <c r="P2182" s="295"/>
      <c r="Q2182" s="295"/>
      <c r="R2182" s="295"/>
      <c r="S2182" s="295"/>
      <c r="T2182" s="295"/>
      <c r="U2182" s="295"/>
      <c r="V2182" s="295"/>
      <c r="W2182" s="295"/>
      <c r="X2182" s="295"/>
      <c r="Y2182" s="295"/>
      <c r="Z2182" s="295"/>
      <c r="AA2182" s="295"/>
      <c r="AB2182" s="295"/>
      <c r="AC2182" s="295"/>
      <c r="AD2182" s="295"/>
      <c r="AE2182" s="295"/>
      <c r="AF2182" s="295"/>
      <c r="AG2182" s="295"/>
      <c r="AH2182" s="295"/>
      <c r="AI2182" s="295"/>
      <c r="AJ2182" s="295"/>
    </row>
    <row r="2183" spans="1:36" s="291" customFormat="1" ht="16.2">
      <c r="A2183" s="304"/>
      <c r="B2183" s="289"/>
      <c r="C2183" s="290"/>
      <c r="E2183" s="453"/>
      <c r="G2183" s="454"/>
      <c r="I2183" s="295"/>
      <c r="J2183" s="295"/>
      <c r="K2183" s="295"/>
      <c r="L2183" s="295"/>
      <c r="M2183" s="302"/>
      <c r="N2183" s="302"/>
      <c r="O2183" s="303"/>
      <c r="P2183" s="295"/>
      <c r="Q2183" s="295"/>
      <c r="R2183" s="295"/>
      <c r="S2183" s="295"/>
      <c r="T2183" s="295"/>
      <c r="U2183" s="295"/>
      <c r="V2183" s="295"/>
      <c r="W2183" s="295"/>
      <c r="X2183" s="295"/>
      <c r="Y2183" s="295"/>
      <c r="Z2183" s="295"/>
      <c r="AA2183" s="295"/>
      <c r="AB2183" s="295"/>
      <c r="AC2183" s="295"/>
      <c r="AD2183" s="295"/>
      <c r="AE2183" s="295"/>
      <c r="AF2183" s="295"/>
      <c r="AG2183" s="295"/>
      <c r="AH2183" s="295"/>
      <c r="AI2183" s="295"/>
      <c r="AJ2183" s="295"/>
    </row>
    <row r="2184" spans="1:36" s="291" customFormat="1" ht="16.2">
      <c r="A2184" s="304"/>
      <c r="B2184" s="289"/>
      <c r="C2184" s="290"/>
      <c r="E2184" s="453"/>
      <c r="G2184" s="454"/>
      <c r="I2184" s="295"/>
      <c r="J2184" s="295"/>
      <c r="K2184" s="295"/>
      <c r="L2184" s="295"/>
      <c r="M2184" s="302"/>
      <c r="N2184" s="302"/>
      <c r="O2184" s="303"/>
      <c r="P2184" s="295"/>
      <c r="Q2184" s="295"/>
      <c r="R2184" s="295"/>
      <c r="S2184" s="295"/>
      <c r="T2184" s="295"/>
      <c r="U2184" s="295"/>
      <c r="V2184" s="295"/>
      <c r="W2184" s="295"/>
      <c r="X2184" s="295"/>
      <c r="Y2184" s="295"/>
      <c r="Z2184" s="295"/>
      <c r="AA2184" s="295"/>
      <c r="AB2184" s="295"/>
      <c r="AC2184" s="295"/>
      <c r="AD2184" s="295"/>
      <c r="AE2184" s="295"/>
      <c r="AF2184" s="295"/>
      <c r="AG2184" s="295"/>
      <c r="AH2184" s="295"/>
      <c r="AI2184" s="295"/>
      <c r="AJ2184" s="295"/>
    </row>
    <row r="2185" spans="1:36" s="291" customFormat="1" ht="16.2">
      <c r="A2185" s="304"/>
      <c r="B2185" s="289"/>
      <c r="C2185" s="290"/>
      <c r="E2185" s="453"/>
      <c r="G2185" s="454"/>
      <c r="I2185" s="295"/>
      <c r="J2185" s="295"/>
      <c r="K2185" s="295"/>
      <c r="L2185" s="295"/>
      <c r="M2185" s="302"/>
      <c r="N2185" s="302"/>
      <c r="O2185" s="303"/>
      <c r="P2185" s="295"/>
      <c r="Q2185" s="295"/>
      <c r="R2185" s="295"/>
      <c r="S2185" s="295"/>
      <c r="T2185" s="295"/>
      <c r="U2185" s="295"/>
      <c r="V2185" s="295"/>
      <c r="W2185" s="295"/>
      <c r="X2185" s="295"/>
      <c r="Y2185" s="295"/>
      <c r="Z2185" s="295"/>
      <c r="AA2185" s="295"/>
      <c r="AB2185" s="295"/>
      <c r="AC2185" s="295"/>
      <c r="AD2185" s="295"/>
      <c r="AE2185" s="295"/>
      <c r="AF2185" s="295"/>
      <c r="AG2185" s="295"/>
      <c r="AH2185" s="295"/>
      <c r="AI2185" s="295"/>
      <c r="AJ2185" s="295"/>
    </row>
    <row r="2186" spans="1:36" s="291" customFormat="1" ht="16.2">
      <c r="A2186" s="304"/>
      <c r="B2186" s="289"/>
      <c r="C2186" s="290"/>
      <c r="E2186" s="453"/>
      <c r="G2186" s="454"/>
      <c r="I2186" s="295"/>
      <c r="J2186" s="295"/>
      <c r="K2186" s="295"/>
      <c r="L2186" s="295"/>
      <c r="M2186" s="302"/>
      <c r="N2186" s="302"/>
      <c r="O2186" s="303"/>
      <c r="P2186" s="295"/>
      <c r="Q2186" s="295"/>
      <c r="R2186" s="295"/>
      <c r="S2186" s="295"/>
      <c r="T2186" s="295"/>
      <c r="U2186" s="295"/>
      <c r="V2186" s="295"/>
      <c r="W2186" s="295"/>
      <c r="X2186" s="295"/>
      <c r="Y2186" s="295"/>
      <c r="Z2186" s="295"/>
      <c r="AA2186" s="295"/>
      <c r="AB2186" s="295"/>
      <c r="AC2186" s="295"/>
      <c r="AD2186" s="295"/>
      <c r="AE2186" s="295"/>
      <c r="AF2186" s="295"/>
      <c r="AG2186" s="295"/>
      <c r="AH2186" s="295"/>
      <c r="AI2186" s="295"/>
      <c r="AJ2186" s="295"/>
    </row>
    <row r="2187" spans="1:36" s="291" customFormat="1" ht="16.2">
      <c r="A2187" s="304"/>
      <c r="B2187" s="289"/>
      <c r="C2187" s="290"/>
      <c r="E2187" s="453"/>
      <c r="G2187" s="454"/>
      <c r="I2187" s="295"/>
      <c r="J2187" s="295"/>
      <c r="K2187" s="295"/>
      <c r="L2187" s="295"/>
      <c r="M2187" s="302"/>
      <c r="N2187" s="302"/>
      <c r="O2187" s="303"/>
      <c r="P2187" s="295"/>
      <c r="Q2187" s="295"/>
      <c r="R2187" s="295"/>
      <c r="S2187" s="295"/>
      <c r="T2187" s="295"/>
      <c r="U2187" s="295"/>
      <c r="V2187" s="295"/>
      <c r="W2187" s="295"/>
      <c r="X2187" s="295"/>
      <c r="Y2187" s="295"/>
      <c r="Z2187" s="295"/>
      <c r="AA2187" s="295"/>
      <c r="AB2187" s="295"/>
      <c r="AC2187" s="295"/>
      <c r="AD2187" s="295"/>
      <c r="AE2187" s="295"/>
      <c r="AF2187" s="295"/>
      <c r="AG2187" s="295"/>
      <c r="AH2187" s="295"/>
      <c r="AI2187" s="295"/>
      <c r="AJ2187" s="295"/>
    </row>
    <row r="2188" spans="1:36" s="291" customFormat="1" ht="16.2">
      <c r="A2188" s="304"/>
      <c r="B2188" s="289"/>
      <c r="C2188" s="290"/>
      <c r="E2188" s="453"/>
      <c r="G2188" s="454"/>
      <c r="I2188" s="295"/>
      <c r="J2188" s="295"/>
      <c r="K2188" s="295"/>
      <c r="L2188" s="295"/>
      <c r="M2188" s="302"/>
      <c r="N2188" s="302"/>
      <c r="O2188" s="303"/>
      <c r="P2188" s="295"/>
      <c r="Q2188" s="295"/>
      <c r="R2188" s="295"/>
      <c r="S2188" s="295"/>
      <c r="T2188" s="295"/>
      <c r="U2188" s="295"/>
      <c r="V2188" s="295"/>
      <c r="W2188" s="295"/>
      <c r="X2188" s="295"/>
      <c r="Y2188" s="295"/>
      <c r="Z2188" s="295"/>
      <c r="AA2188" s="295"/>
      <c r="AB2188" s="295"/>
      <c r="AC2188" s="295"/>
      <c r="AD2188" s="295"/>
      <c r="AE2188" s="295"/>
      <c r="AF2188" s="295"/>
      <c r="AG2188" s="295"/>
      <c r="AH2188" s="295"/>
      <c r="AI2188" s="295"/>
      <c r="AJ2188" s="295"/>
    </row>
    <row r="2189" spans="1:36" s="291" customFormat="1" ht="16.2">
      <c r="A2189" s="304"/>
      <c r="B2189" s="289"/>
      <c r="C2189" s="290"/>
      <c r="E2189" s="453"/>
      <c r="G2189" s="454"/>
      <c r="I2189" s="295"/>
      <c r="J2189" s="295"/>
      <c r="K2189" s="295"/>
      <c r="L2189" s="295"/>
      <c r="M2189" s="302"/>
      <c r="N2189" s="302"/>
      <c r="O2189" s="303"/>
      <c r="P2189" s="295"/>
      <c r="Q2189" s="295"/>
      <c r="R2189" s="295"/>
      <c r="S2189" s="295"/>
      <c r="T2189" s="295"/>
      <c r="U2189" s="295"/>
      <c r="V2189" s="295"/>
      <c r="W2189" s="295"/>
      <c r="X2189" s="295"/>
      <c r="Y2189" s="295"/>
      <c r="Z2189" s="295"/>
      <c r="AA2189" s="295"/>
      <c r="AB2189" s="295"/>
      <c r="AC2189" s="295"/>
      <c r="AD2189" s="295"/>
      <c r="AE2189" s="295"/>
      <c r="AF2189" s="295"/>
      <c r="AG2189" s="295"/>
      <c r="AH2189" s="295"/>
      <c r="AI2189" s="295"/>
      <c r="AJ2189" s="295"/>
    </row>
    <row r="2190" spans="1:36" s="291" customFormat="1" ht="16.2">
      <c r="A2190" s="304"/>
      <c r="B2190" s="289"/>
      <c r="C2190" s="290"/>
      <c r="E2190" s="453"/>
      <c r="G2190" s="454"/>
      <c r="I2190" s="295"/>
      <c r="J2190" s="295"/>
      <c r="K2190" s="295"/>
      <c r="L2190" s="295"/>
      <c r="M2190" s="302"/>
      <c r="N2190" s="302"/>
      <c r="O2190" s="303"/>
      <c r="P2190" s="295"/>
      <c r="Q2190" s="295"/>
      <c r="R2190" s="295"/>
      <c r="S2190" s="295"/>
      <c r="T2190" s="295"/>
      <c r="U2190" s="295"/>
      <c r="V2190" s="295"/>
      <c r="W2190" s="295"/>
      <c r="X2190" s="295"/>
      <c r="Y2190" s="295"/>
      <c r="Z2190" s="295"/>
      <c r="AA2190" s="295"/>
      <c r="AB2190" s="295"/>
      <c r="AC2190" s="295"/>
      <c r="AD2190" s="295"/>
      <c r="AE2190" s="295"/>
      <c r="AF2190" s="295"/>
      <c r="AG2190" s="295"/>
      <c r="AH2190" s="295"/>
      <c r="AI2190" s="295"/>
      <c r="AJ2190" s="295"/>
    </row>
    <row r="2191" spans="1:36" s="291" customFormat="1" ht="16.2">
      <c r="A2191" s="304"/>
      <c r="B2191" s="289"/>
      <c r="C2191" s="290"/>
      <c r="E2191" s="453"/>
      <c r="G2191" s="454"/>
      <c r="I2191" s="295"/>
      <c r="J2191" s="295"/>
      <c r="K2191" s="295"/>
      <c r="L2191" s="295"/>
      <c r="M2191" s="302"/>
      <c r="N2191" s="302"/>
      <c r="O2191" s="303"/>
      <c r="P2191" s="295"/>
      <c r="Q2191" s="295"/>
      <c r="R2191" s="295"/>
      <c r="S2191" s="295"/>
      <c r="T2191" s="295"/>
      <c r="U2191" s="295"/>
      <c r="V2191" s="295"/>
      <c r="W2191" s="295"/>
      <c r="X2191" s="295"/>
      <c r="Y2191" s="295"/>
      <c r="Z2191" s="295"/>
      <c r="AA2191" s="295"/>
      <c r="AB2191" s="295"/>
      <c r="AC2191" s="295"/>
      <c r="AD2191" s="295"/>
      <c r="AE2191" s="295"/>
      <c r="AF2191" s="295"/>
      <c r="AG2191" s="295"/>
      <c r="AH2191" s="295"/>
      <c r="AI2191" s="295"/>
      <c r="AJ2191" s="295"/>
    </row>
    <row r="2192" spans="1:36" s="291" customFormat="1" ht="16.2">
      <c r="A2192" s="304"/>
      <c r="B2192" s="289"/>
      <c r="C2192" s="290"/>
      <c r="E2192" s="453"/>
      <c r="G2192" s="454"/>
      <c r="I2192" s="295"/>
      <c r="J2192" s="295"/>
      <c r="K2192" s="295"/>
      <c r="L2192" s="295"/>
      <c r="M2192" s="302"/>
      <c r="N2192" s="302"/>
      <c r="O2192" s="303"/>
      <c r="P2192" s="295"/>
      <c r="Q2192" s="295"/>
      <c r="R2192" s="295"/>
      <c r="S2192" s="295"/>
      <c r="T2192" s="295"/>
      <c r="U2192" s="295"/>
      <c r="V2192" s="295"/>
      <c r="W2192" s="295"/>
      <c r="X2192" s="295"/>
      <c r="Y2192" s="295"/>
      <c r="Z2192" s="295"/>
      <c r="AA2192" s="295"/>
      <c r="AB2192" s="295"/>
      <c r="AC2192" s="295"/>
      <c r="AD2192" s="295"/>
      <c r="AE2192" s="295"/>
      <c r="AF2192" s="295"/>
      <c r="AG2192" s="295"/>
      <c r="AH2192" s="295"/>
      <c r="AI2192" s="295"/>
      <c r="AJ2192" s="295"/>
    </row>
    <row r="2193" spans="1:36" s="291" customFormat="1" ht="16.2">
      <c r="A2193" s="304"/>
      <c r="B2193" s="289"/>
      <c r="C2193" s="290"/>
      <c r="E2193" s="453"/>
      <c r="G2193" s="454"/>
      <c r="I2193" s="295"/>
      <c r="J2193" s="295"/>
      <c r="K2193" s="295"/>
      <c r="L2193" s="295"/>
      <c r="M2193" s="302"/>
      <c r="N2193" s="302"/>
      <c r="O2193" s="303"/>
      <c r="P2193" s="295"/>
      <c r="Q2193" s="295"/>
      <c r="R2193" s="295"/>
      <c r="S2193" s="295"/>
      <c r="T2193" s="295"/>
      <c r="U2193" s="295"/>
      <c r="V2193" s="295"/>
      <c r="W2193" s="295"/>
      <c r="X2193" s="295"/>
      <c r="Y2193" s="295"/>
      <c r="Z2193" s="295"/>
      <c r="AA2193" s="295"/>
      <c r="AB2193" s="295"/>
      <c r="AC2193" s="295"/>
      <c r="AD2193" s="295"/>
      <c r="AE2193" s="295"/>
      <c r="AF2193" s="295"/>
      <c r="AG2193" s="295"/>
      <c r="AH2193" s="295"/>
      <c r="AI2193" s="295"/>
      <c r="AJ2193" s="295"/>
    </row>
    <row r="2194" spans="1:36" s="291" customFormat="1" ht="16.2">
      <c r="A2194" s="304"/>
      <c r="B2194" s="289"/>
      <c r="C2194" s="290"/>
      <c r="E2194" s="453"/>
      <c r="G2194" s="454"/>
      <c r="I2194" s="295"/>
      <c r="J2194" s="295"/>
      <c r="K2194" s="295"/>
      <c r="L2194" s="295"/>
      <c r="M2194" s="302"/>
      <c r="N2194" s="302"/>
      <c r="O2194" s="303"/>
      <c r="P2194" s="295"/>
      <c r="Q2194" s="295"/>
      <c r="R2194" s="295"/>
      <c r="S2194" s="295"/>
      <c r="T2194" s="295"/>
      <c r="U2194" s="295"/>
      <c r="V2194" s="295"/>
      <c r="W2194" s="295"/>
      <c r="X2194" s="295"/>
      <c r="Y2194" s="295"/>
      <c r="Z2194" s="295"/>
      <c r="AA2194" s="295"/>
      <c r="AB2194" s="295"/>
      <c r="AC2194" s="295"/>
      <c r="AD2194" s="295"/>
      <c r="AE2194" s="295"/>
      <c r="AF2194" s="295"/>
      <c r="AG2194" s="295"/>
      <c r="AH2194" s="295"/>
      <c r="AI2194" s="295"/>
      <c r="AJ2194" s="295"/>
    </row>
    <row r="2195" spans="1:36" s="291" customFormat="1" ht="16.2">
      <c r="A2195" s="304"/>
      <c r="B2195" s="289"/>
      <c r="C2195" s="290"/>
      <c r="E2195" s="453"/>
      <c r="G2195" s="454"/>
      <c r="I2195" s="295"/>
      <c r="J2195" s="295"/>
      <c r="K2195" s="295"/>
      <c r="L2195" s="295"/>
      <c r="M2195" s="302"/>
      <c r="N2195" s="302"/>
      <c r="O2195" s="303"/>
      <c r="P2195" s="295"/>
      <c r="Q2195" s="295"/>
      <c r="R2195" s="295"/>
      <c r="S2195" s="295"/>
      <c r="T2195" s="295"/>
      <c r="U2195" s="295"/>
      <c r="V2195" s="295"/>
      <c r="W2195" s="295"/>
      <c r="X2195" s="295"/>
      <c r="Y2195" s="295"/>
      <c r="Z2195" s="295"/>
      <c r="AA2195" s="295"/>
      <c r="AB2195" s="295"/>
      <c r="AC2195" s="295"/>
      <c r="AD2195" s="295"/>
      <c r="AE2195" s="295"/>
      <c r="AF2195" s="295"/>
      <c r="AG2195" s="295"/>
      <c r="AH2195" s="295"/>
      <c r="AI2195" s="295"/>
      <c r="AJ2195" s="295"/>
    </row>
    <row r="2196" spans="1:36" s="291" customFormat="1" ht="16.2">
      <c r="A2196" s="304"/>
      <c r="B2196" s="289"/>
      <c r="C2196" s="290"/>
      <c r="E2196" s="453"/>
      <c r="G2196" s="454"/>
      <c r="I2196" s="295"/>
      <c r="J2196" s="295"/>
      <c r="K2196" s="295"/>
      <c r="L2196" s="295"/>
      <c r="M2196" s="302"/>
      <c r="N2196" s="302"/>
      <c r="O2196" s="303"/>
      <c r="P2196" s="295"/>
      <c r="Q2196" s="295"/>
      <c r="R2196" s="295"/>
      <c r="S2196" s="295"/>
      <c r="T2196" s="295"/>
      <c r="U2196" s="295"/>
      <c r="V2196" s="295"/>
      <c r="W2196" s="295"/>
      <c r="X2196" s="295"/>
      <c r="Y2196" s="295"/>
      <c r="Z2196" s="295"/>
      <c r="AA2196" s="295"/>
      <c r="AB2196" s="295"/>
      <c r="AC2196" s="295"/>
      <c r="AD2196" s="295"/>
      <c r="AE2196" s="295"/>
      <c r="AF2196" s="295"/>
      <c r="AG2196" s="295"/>
      <c r="AH2196" s="295"/>
      <c r="AI2196" s="295"/>
      <c r="AJ2196" s="295"/>
    </row>
    <row r="2197" spans="1:36" s="291" customFormat="1" ht="16.2">
      <c r="A2197" s="304"/>
      <c r="B2197" s="289"/>
      <c r="C2197" s="290"/>
      <c r="E2197" s="453"/>
      <c r="G2197" s="454"/>
      <c r="I2197" s="295"/>
      <c r="J2197" s="295"/>
      <c r="K2197" s="295"/>
      <c r="L2197" s="295"/>
      <c r="M2197" s="302"/>
      <c r="N2197" s="302"/>
      <c r="O2197" s="303"/>
      <c r="P2197" s="295"/>
      <c r="Q2197" s="295"/>
      <c r="R2197" s="295"/>
      <c r="S2197" s="295"/>
      <c r="T2197" s="295"/>
      <c r="U2197" s="295"/>
      <c r="V2197" s="295"/>
      <c r="W2197" s="295"/>
      <c r="X2197" s="295"/>
      <c r="Y2197" s="295"/>
      <c r="Z2197" s="295"/>
      <c r="AA2197" s="295"/>
      <c r="AB2197" s="295"/>
      <c r="AC2197" s="295"/>
      <c r="AD2197" s="295"/>
      <c r="AE2197" s="295"/>
      <c r="AF2197" s="295"/>
      <c r="AG2197" s="295"/>
      <c r="AH2197" s="295"/>
      <c r="AI2197" s="295"/>
      <c r="AJ2197" s="295"/>
    </row>
    <row r="2198" spans="1:36" s="291" customFormat="1" ht="16.2">
      <c r="A2198" s="304"/>
      <c r="B2198" s="289"/>
      <c r="C2198" s="290"/>
      <c r="E2198" s="453"/>
      <c r="G2198" s="454"/>
      <c r="I2198" s="295"/>
      <c r="J2198" s="295"/>
      <c r="K2198" s="295"/>
      <c r="L2198" s="295"/>
      <c r="M2198" s="302"/>
      <c r="N2198" s="302"/>
      <c r="O2198" s="303"/>
      <c r="P2198" s="295"/>
      <c r="Q2198" s="295"/>
      <c r="R2198" s="295"/>
      <c r="S2198" s="295"/>
      <c r="T2198" s="295"/>
      <c r="U2198" s="295"/>
      <c r="V2198" s="295"/>
      <c r="W2198" s="295"/>
      <c r="X2198" s="295"/>
      <c r="Y2198" s="295"/>
      <c r="Z2198" s="295"/>
      <c r="AA2198" s="295"/>
      <c r="AB2198" s="295"/>
      <c r="AC2198" s="295"/>
      <c r="AD2198" s="295"/>
      <c r="AE2198" s="295"/>
      <c r="AF2198" s="295"/>
      <c r="AG2198" s="295"/>
      <c r="AH2198" s="295"/>
      <c r="AI2198" s="295"/>
      <c r="AJ2198" s="295"/>
    </row>
    <row r="2199" spans="1:36" s="291" customFormat="1" ht="16.2">
      <c r="A2199" s="304"/>
      <c r="B2199" s="289"/>
      <c r="C2199" s="290"/>
      <c r="E2199" s="453"/>
      <c r="G2199" s="454"/>
      <c r="I2199" s="295"/>
      <c r="J2199" s="295"/>
      <c r="K2199" s="295"/>
      <c r="L2199" s="295"/>
      <c r="M2199" s="302"/>
      <c r="N2199" s="302"/>
      <c r="O2199" s="303"/>
      <c r="P2199" s="295"/>
      <c r="Q2199" s="295"/>
      <c r="R2199" s="295"/>
      <c r="S2199" s="295"/>
      <c r="T2199" s="295"/>
      <c r="U2199" s="295"/>
      <c r="V2199" s="295"/>
      <c r="W2199" s="295"/>
      <c r="X2199" s="295"/>
      <c r="Y2199" s="295"/>
      <c r="Z2199" s="295"/>
      <c r="AA2199" s="295"/>
      <c r="AB2199" s="295"/>
      <c r="AC2199" s="295"/>
      <c r="AD2199" s="295"/>
      <c r="AE2199" s="295"/>
      <c r="AF2199" s="295"/>
      <c r="AG2199" s="295"/>
      <c r="AH2199" s="295"/>
      <c r="AI2199" s="295"/>
      <c r="AJ2199" s="295"/>
    </row>
    <row r="2200" spans="1:36" s="291" customFormat="1" ht="16.2">
      <c r="A2200" s="304"/>
      <c r="B2200" s="289"/>
      <c r="C2200" s="290"/>
      <c r="E2200" s="453"/>
      <c r="G2200" s="454"/>
      <c r="I2200" s="295"/>
      <c r="J2200" s="295"/>
      <c r="K2200" s="295"/>
      <c r="L2200" s="295"/>
      <c r="M2200" s="302"/>
      <c r="N2200" s="302"/>
      <c r="O2200" s="303"/>
      <c r="P2200" s="295"/>
      <c r="Q2200" s="295"/>
      <c r="R2200" s="295"/>
      <c r="S2200" s="295"/>
      <c r="T2200" s="295"/>
      <c r="U2200" s="295"/>
      <c r="V2200" s="295"/>
      <c r="W2200" s="295"/>
      <c r="X2200" s="295"/>
      <c r="Y2200" s="295"/>
      <c r="Z2200" s="295"/>
      <c r="AA2200" s="295"/>
      <c r="AB2200" s="295"/>
      <c r="AC2200" s="295"/>
      <c r="AD2200" s="295"/>
      <c r="AE2200" s="295"/>
      <c r="AF2200" s="295"/>
      <c r="AG2200" s="295"/>
      <c r="AH2200" s="295"/>
      <c r="AI2200" s="295"/>
      <c r="AJ2200" s="295"/>
    </row>
    <row r="2201" spans="1:36" s="291" customFormat="1" ht="16.2">
      <c r="A2201" s="304"/>
      <c r="B2201" s="289"/>
      <c r="C2201" s="290"/>
      <c r="E2201" s="453"/>
      <c r="G2201" s="454"/>
      <c r="I2201" s="295"/>
      <c r="J2201" s="295"/>
      <c r="K2201" s="295"/>
      <c r="L2201" s="295"/>
      <c r="M2201" s="302"/>
      <c r="N2201" s="302"/>
      <c r="O2201" s="303"/>
      <c r="P2201" s="295"/>
      <c r="Q2201" s="295"/>
      <c r="R2201" s="295"/>
      <c r="S2201" s="295"/>
      <c r="T2201" s="295"/>
      <c r="U2201" s="295"/>
      <c r="V2201" s="295"/>
      <c r="W2201" s="295"/>
      <c r="X2201" s="295"/>
      <c r="Y2201" s="295"/>
      <c r="Z2201" s="295"/>
      <c r="AA2201" s="295"/>
      <c r="AB2201" s="295"/>
      <c r="AC2201" s="295"/>
      <c r="AD2201" s="295"/>
      <c r="AE2201" s="295"/>
      <c r="AF2201" s="295"/>
      <c r="AG2201" s="295"/>
      <c r="AH2201" s="295"/>
      <c r="AI2201" s="295"/>
      <c r="AJ2201" s="295"/>
    </row>
    <row r="2202" spans="1:36" s="291" customFormat="1" ht="16.2">
      <c r="A2202" s="304"/>
      <c r="B2202" s="289"/>
      <c r="C2202" s="290"/>
      <c r="E2202" s="453"/>
      <c r="G2202" s="454"/>
      <c r="I2202" s="295"/>
      <c r="J2202" s="295"/>
      <c r="K2202" s="295"/>
      <c r="L2202" s="295"/>
      <c r="M2202" s="302"/>
      <c r="N2202" s="302"/>
      <c r="O2202" s="303"/>
      <c r="P2202" s="295"/>
      <c r="Q2202" s="295"/>
      <c r="R2202" s="295"/>
      <c r="S2202" s="295"/>
      <c r="T2202" s="295"/>
      <c r="U2202" s="295"/>
      <c r="V2202" s="295"/>
      <c r="W2202" s="295"/>
      <c r="X2202" s="295"/>
      <c r="Y2202" s="295"/>
      <c r="Z2202" s="295"/>
      <c r="AA2202" s="295"/>
      <c r="AB2202" s="295"/>
      <c r="AC2202" s="295"/>
      <c r="AD2202" s="295"/>
      <c r="AE2202" s="295"/>
      <c r="AF2202" s="295"/>
      <c r="AG2202" s="295"/>
      <c r="AH2202" s="295"/>
      <c r="AI2202" s="295"/>
      <c r="AJ2202" s="295"/>
    </row>
    <row r="2203" spans="1:36" s="291" customFormat="1" ht="16.2">
      <c r="A2203" s="304"/>
      <c r="B2203" s="289"/>
      <c r="C2203" s="290"/>
      <c r="E2203" s="453"/>
      <c r="G2203" s="454"/>
      <c r="I2203" s="295"/>
      <c r="J2203" s="295"/>
      <c r="K2203" s="295"/>
      <c r="L2203" s="295"/>
      <c r="M2203" s="302"/>
      <c r="N2203" s="302"/>
      <c r="O2203" s="303"/>
      <c r="P2203" s="295"/>
      <c r="Q2203" s="295"/>
      <c r="R2203" s="295"/>
      <c r="S2203" s="295"/>
      <c r="T2203" s="295"/>
      <c r="U2203" s="295"/>
      <c r="V2203" s="295"/>
      <c r="W2203" s="295"/>
      <c r="X2203" s="295"/>
      <c r="Y2203" s="295"/>
      <c r="Z2203" s="295"/>
      <c r="AA2203" s="295"/>
      <c r="AB2203" s="295"/>
      <c r="AC2203" s="295"/>
      <c r="AD2203" s="295"/>
      <c r="AE2203" s="295"/>
      <c r="AF2203" s="295"/>
      <c r="AG2203" s="295"/>
      <c r="AH2203" s="295"/>
      <c r="AI2203" s="295"/>
      <c r="AJ2203" s="295"/>
    </row>
    <row r="2204" spans="1:36" s="291" customFormat="1" ht="16.2">
      <c r="A2204" s="304"/>
      <c r="B2204" s="289"/>
      <c r="C2204" s="290"/>
      <c r="E2204" s="453"/>
      <c r="G2204" s="454"/>
      <c r="I2204" s="295"/>
      <c r="J2204" s="295"/>
      <c r="K2204" s="295"/>
      <c r="L2204" s="295"/>
      <c r="M2204" s="302"/>
      <c r="N2204" s="302"/>
      <c r="O2204" s="303"/>
      <c r="P2204" s="295"/>
      <c r="Q2204" s="295"/>
      <c r="R2204" s="295"/>
      <c r="S2204" s="295"/>
      <c r="T2204" s="295"/>
      <c r="U2204" s="295"/>
      <c r="V2204" s="295"/>
      <c r="W2204" s="295"/>
      <c r="X2204" s="295"/>
      <c r="Y2204" s="295"/>
      <c r="Z2204" s="295"/>
      <c r="AA2204" s="295"/>
      <c r="AB2204" s="295"/>
      <c r="AC2204" s="295"/>
      <c r="AD2204" s="295"/>
      <c r="AE2204" s="295"/>
      <c r="AF2204" s="295"/>
      <c r="AG2204" s="295"/>
      <c r="AH2204" s="295"/>
      <c r="AI2204" s="295"/>
      <c r="AJ2204" s="295"/>
    </row>
    <row r="2205" spans="1:36" s="291" customFormat="1" ht="16.2">
      <c r="A2205" s="304"/>
      <c r="B2205" s="289"/>
      <c r="C2205" s="290"/>
      <c r="E2205" s="453"/>
      <c r="G2205" s="454"/>
      <c r="I2205" s="295"/>
      <c r="J2205" s="295"/>
      <c r="K2205" s="295"/>
      <c r="L2205" s="295"/>
      <c r="M2205" s="302"/>
      <c r="N2205" s="302"/>
      <c r="O2205" s="303"/>
      <c r="P2205" s="295"/>
      <c r="Q2205" s="295"/>
      <c r="R2205" s="295"/>
      <c r="S2205" s="295"/>
      <c r="T2205" s="295"/>
      <c r="U2205" s="295"/>
      <c r="V2205" s="295"/>
      <c r="W2205" s="295"/>
      <c r="X2205" s="295"/>
      <c r="Y2205" s="295"/>
      <c r="Z2205" s="295"/>
      <c r="AA2205" s="295"/>
      <c r="AB2205" s="295"/>
      <c r="AC2205" s="295"/>
      <c r="AD2205" s="295"/>
      <c r="AE2205" s="295"/>
      <c r="AF2205" s="295"/>
      <c r="AG2205" s="295"/>
      <c r="AH2205" s="295"/>
      <c r="AI2205" s="295"/>
      <c r="AJ2205" s="295"/>
    </row>
    <row r="2206" spans="1:36" s="291" customFormat="1" ht="16.2">
      <c r="A2206" s="304"/>
      <c r="B2206" s="289"/>
      <c r="C2206" s="290"/>
      <c r="E2206" s="453"/>
      <c r="G2206" s="454"/>
      <c r="I2206" s="295"/>
      <c r="J2206" s="295"/>
      <c r="K2206" s="295"/>
      <c r="L2206" s="295"/>
      <c r="M2206" s="302"/>
      <c r="N2206" s="302"/>
      <c r="O2206" s="303"/>
      <c r="P2206" s="295"/>
      <c r="Q2206" s="295"/>
      <c r="R2206" s="295"/>
      <c r="S2206" s="295"/>
      <c r="T2206" s="295"/>
      <c r="U2206" s="295"/>
      <c r="V2206" s="295"/>
      <c r="W2206" s="295"/>
      <c r="X2206" s="295"/>
      <c r="Y2206" s="295"/>
      <c r="Z2206" s="295"/>
      <c r="AA2206" s="295"/>
      <c r="AB2206" s="295"/>
      <c r="AC2206" s="295"/>
      <c r="AD2206" s="295"/>
      <c r="AE2206" s="295"/>
      <c r="AF2206" s="295"/>
      <c r="AG2206" s="295"/>
      <c r="AH2206" s="295"/>
      <c r="AI2206" s="295"/>
      <c r="AJ2206" s="295"/>
    </row>
    <row r="2207" spans="1:36" s="291" customFormat="1" ht="16.2">
      <c r="A2207" s="304"/>
      <c r="B2207" s="289"/>
      <c r="C2207" s="290"/>
      <c r="E2207" s="453"/>
      <c r="G2207" s="454"/>
      <c r="I2207" s="295"/>
      <c r="J2207" s="295"/>
      <c r="K2207" s="295"/>
      <c r="L2207" s="295"/>
      <c r="M2207" s="302"/>
      <c r="N2207" s="302"/>
      <c r="O2207" s="303"/>
      <c r="P2207" s="295"/>
      <c r="Q2207" s="295"/>
      <c r="R2207" s="295"/>
      <c r="S2207" s="295"/>
      <c r="T2207" s="295"/>
      <c r="U2207" s="295"/>
      <c r="V2207" s="295"/>
      <c r="W2207" s="295"/>
      <c r="X2207" s="295"/>
      <c r="Y2207" s="295"/>
      <c r="Z2207" s="295"/>
      <c r="AA2207" s="295"/>
      <c r="AB2207" s="295"/>
      <c r="AC2207" s="295"/>
      <c r="AD2207" s="295"/>
      <c r="AE2207" s="295"/>
      <c r="AF2207" s="295"/>
      <c r="AG2207" s="295"/>
      <c r="AH2207" s="295"/>
      <c r="AI2207" s="295"/>
      <c r="AJ2207" s="295"/>
    </row>
    <row r="2208" spans="1:36" s="291" customFormat="1" ht="16.2">
      <c r="A2208" s="304"/>
      <c r="B2208" s="289"/>
      <c r="C2208" s="290"/>
      <c r="E2208" s="453"/>
      <c r="G2208" s="454"/>
      <c r="I2208" s="295"/>
      <c r="J2208" s="295"/>
      <c r="K2208" s="295"/>
      <c r="L2208" s="295"/>
      <c r="M2208" s="302"/>
      <c r="N2208" s="302"/>
      <c r="O2208" s="303"/>
      <c r="P2208" s="295"/>
      <c r="Q2208" s="295"/>
      <c r="R2208" s="295"/>
      <c r="S2208" s="295"/>
      <c r="T2208" s="295"/>
      <c r="U2208" s="295"/>
      <c r="V2208" s="295"/>
      <c r="W2208" s="295"/>
      <c r="X2208" s="295"/>
      <c r="Y2208" s="295"/>
      <c r="Z2208" s="295"/>
      <c r="AA2208" s="295"/>
      <c r="AB2208" s="295"/>
      <c r="AC2208" s="295"/>
      <c r="AD2208" s="295"/>
      <c r="AE2208" s="295"/>
      <c r="AF2208" s="295"/>
      <c r="AG2208" s="295"/>
      <c r="AH2208" s="295"/>
      <c r="AI2208" s="295"/>
      <c r="AJ2208" s="295"/>
    </row>
    <row r="2209" spans="1:36" s="291" customFormat="1" ht="16.2">
      <c r="A2209" s="304"/>
      <c r="B2209" s="289"/>
      <c r="C2209" s="290"/>
      <c r="E2209" s="453"/>
      <c r="G2209" s="454"/>
      <c r="I2209" s="295"/>
      <c r="J2209" s="295"/>
      <c r="K2209" s="295"/>
      <c r="L2209" s="295"/>
      <c r="M2209" s="302"/>
      <c r="N2209" s="302"/>
      <c r="O2209" s="303"/>
      <c r="P2209" s="295"/>
      <c r="Q2209" s="295"/>
      <c r="R2209" s="295"/>
      <c r="S2209" s="295"/>
      <c r="T2209" s="295"/>
      <c r="U2209" s="295"/>
      <c r="V2209" s="295"/>
      <c r="W2209" s="295"/>
      <c r="X2209" s="295"/>
      <c r="Y2209" s="295"/>
      <c r="Z2209" s="295"/>
      <c r="AA2209" s="295"/>
      <c r="AB2209" s="295"/>
      <c r="AC2209" s="295"/>
      <c r="AD2209" s="295"/>
      <c r="AE2209" s="295"/>
      <c r="AF2209" s="295"/>
      <c r="AG2209" s="295"/>
      <c r="AH2209" s="295"/>
      <c r="AI2209" s="295"/>
      <c r="AJ2209" s="295"/>
    </row>
    <row r="2210" spans="1:36" s="291" customFormat="1" ht="16.2">
      <c r="A2210" s="304"/>
      <c r="B2210" s="289"/>
      <c r="C2210" s="290"/>
      <c r="E2210" s="453"/>
      <c r="G2210" s="454"/>
      <c r="I2210" s="295"/>
      <c r="J2210" s="295"/>
      <c r="K2210" s="295"/>
      <c r="L2210" s="295"/>
      <c r="M2210" s="302"/>
      <c r="N2210" s="302"/>
      <c r="O2210" s="303"/>
      <c r="P2210" s="295"/>
      <c r="Q2210" s="295"/>
      <c r="R2210" s="295"/>
      <c r="S2210" s="295"/>
      <c r="T2210" s="295"/>
      <c r="U2210" s="295"/>
      <c r="V2210" s="295"/>
      <c r="W2210" s="295"/>
      <c r="X2210" s="295"/>
      <c r="Y2210" s="295"/>
      <c r="Z2210" s="295"/>
      <c r="AA2210" s="295"/>
      <c r="AB2210" s="295"/>
      <c r="AC2210" s="295"/>
      <c r="AD2210" s="295"/>
      <c r="AE2210" s="295"/>
      <c r="AF2210" s="295"/>
      <c r="AG2210" s="295"/>
      <c r="AH2210" s="295"/>
      <c r="AI2210" s="295"/>
      <c r="AJ2210" s="295"/>
    </row>
    <row r="2211" spans="1:36" s="291" customFormat="1" ht="16.2">
      <c r="A2211" s="304"/>
      <c r="B2211" s="289"/>
      <c r="C2211" s="290"/>
      <c r="E2211" s="453"/>
      <c r="G2211" s="454"/>
      <c r="I2211" s="295"/>
      <c r="J2211" s="295"/>
      <c r="K2211" s="295"/>
      <c r="L2211" s="295"/>
      <c r="M2211" s="302"/>
      <c r="N2211" s="302"/>
      <c r="O2211" s="303"/>
      <c r="P2211" s="295"/>
      <c r="Q2211" s="295"/>
      <c r="R2211" s="295"/>
      <c r="S2211" s="295"/>
      <c r="T2211" s="295"/>
      <c r="U2211" s="295"/>
      <c r="V2211" s="295"/>
      <c r="W2211" s="295"/>
      <c r="X2211" s="295"/>
      <c r="Y2211" s="295"/>
      <c r="Z2211" s="295"/>
      <c r="AA2211" s="295"/>
      <c r="AB2211" s="295"/>
      <c r="AC2211" s="295"/>
      <c r="AD2211" s="295"/>
      <c r="AE2211" s="295"/>
      <c r="AF2211" s="295"/>
      <c r="AG2211" s="295"/>
      <c r="AH2211" s="295"/>
      <c r="AI2211" s="295"/>
      <c r="AJ2211" s="295"/>
    </row>
  </sheetData>
  <autoFilter ref="A9:AC1771"/>
  <mergeCells count="3">
    <mergeCell ref="E9:E10"/>
    <mergeCell ref="F9:F10"/>
    <mergeCell ref="L9:L10"/>
  </mergeCells>
  <conditionalFormatting sqref="M1424:M1460 M1:O8 M1503 M1505 M1462:M1501 M1669:M1684 M1771:O1048576 M1687:M1770 M1510:M1667 M913:O1077 M1081:M1422 N1081:O1770 M10:O911">
    <cfRule type="timePeriod" dxfId="84" priority="25" timePeriod="today">
      <formula>FLOOR(M1,1)=TODAY()</formula>
    </cfRule>
  </conditionalFormatting>
  <conditionalFormatting sqref="B1754">
    <cfRule type="duplicateValues" dxfId="83" priority="24"/>
  </conditionalFormatting>
  <conditionalFormatting sqref="M1423">
    <cfRule type="timePeriod" dxfId="82" priority="23" timePeriod="today">
      <formula>FLOOR(M1423,1)=TODAY()</formula>
    </cfRule>
  </conditionalFormatting>
  <conditionalFormatting sqref="M1461">
    <cfRule type="timePeriod" dxfId="81" priority="22" timePeriod="today">
      <formula>FLOOR(M1461,1)=TODAY()</formula>
    </cfRule>
  </conditionalFormatting>
  <conditionalFormatting sqref="M1685:M1686">
    <cfRule type="timePeriod" dxfId="80" priority="21" timePeriod="today">
      <formula>FLOOR(M1685,1)=TODAY()</formula>
    </cfRule>
  </conditionalFormatting>
  <conditionalFormatting sqref="M1502">
    <cfRule type="timePeriod" dxfId="79" priority="20" timePeriod="today">
      <formula>FLOOR(M1502,1)=TODAY()</formula>
    </cfRule>
  </conditionalFormatting>
  <conditionalFormatting sqref="M1504">
    <cfRule type="timePeriod" dxfId="78" priority="19" timePeriod="today">
      <formula>FLOOR(M1504,1)=TODAY()</formula>
    </cfRule>
  </conditionalFormatting>
  <conditionalFormatting sqref="M1506 M1509">
    <cfRule type="timePeriod" dxfId="77" priority="18" timePeriod="today">
      <formula>FLOOR(M1506,1)=TODAY()</formula>
    </cfRule>
  </conditionalFormatting>
  <conditionalFormatting sqref="M1507">
    <cfRule type="timePeriod" dxfId="76" priority="17" timePeriod="today">
      <formula>FLOOR(M1507,1)=TODAY()</formula>
    </cfRule>
  </conditionalFormatting>
  <conditionalFormatting sqref="B1509">
    <cfRule type="duplicateValues" dxfId="75" priority="16"/>
  </conditionalFormatting>
  <conditionalFormatting sqref="B1509">
    <cfRule type="duplicateValues" dxfId="74" priority="15"/>
  </conditionalFormatting>
  <conditionalFormatting sqref="M1508">
    <cfRule type="timePeriod" dxfId="73" priority="14" timePeriod="today">
      <formula>FLOOR(M1508,1)=TODAY()</formula>
    </cfRule>
  </conditionalFormatting>
  <conditionalFormatting sqref="B1508">
    <cfRule type="duplicateValues" dxfId="72" priority="13"/>
  </conditionalFormatting>
  <conditionalFormatting sqref="B1508">
    <cfRule type="duplicateValues" dxfId="71" priority="12"/>
  </conditionalFormatting>
  <conditionalFormatting sqref="P1:P9 P1669:P1048576 P913:P1077 P1081:P1667 P11:P911">
    <cfRule type="cellIs" dxfId="70" priority="11" operator="greaterThan">
      <formula>0</formula>
    </cfRule>
  </conditionalFormatting>
  <conditionalFormatting sqref="M1668">
    <cfRule type="timePeriod" dxfId="69" priority="10" timePeriod="today">
      <formula>FLOOR(M1668,1)=TODAY()</formula>
    </cfRule>
  </conditionalFormatting>
  <conditionalFormatting sqref="P1668">
    <cfRule type="cellIs" dxfId="68" priority="9" operator="greaterThan">
      <formula>0</formula>
    </cfRule>
  </conditionalFormatting>
  <conditionalFormatting sqref="P10">
    <cfRule type="timePeriod" dxfId="67" priority="8" timePeriod="today">
      <formula>FLOOR(P10,1)=TODAY()</formula>
    </cfRule>
  </conditionalFormatting>
  <conditionalFormatting sqref="B913:B1077 B1081:B1048576 B1:B911">
    <cfRule type="duplicateValues" dxfId="66" priority="7"/>
  </conditionalFormatting>
  <conditionalFormatting sqref="M912:O912">
    <cfRule type="timePeriod" dxfId="65" priority="6" timePeriod="today">
      <formula>FLOOR(M912,1)=TODAY()</formula>
    </cfRule>
  </conditionalFormatting>
  <conditionalFormatting sqref="P912">
    <cfRule type="cellIs" dxfId="64" priority="5" operator="greaterThan">
      <formula>0</formula>
    </cfRule>
  </conditionalFormatting>
  <conditionalFormatting sqref="B912">
    <cfRule type="duplicateValues" dxfId="63" priority="4"/>
  </conditionalFormatting>
  <conditionalFormatting sqref="M1078:O1080">
    <cfRule type="timePeriod" dxfId="62" priority="3" timePeriod="today">
      <formula>FLOOR(M1078,1)=TODAY()</formula>
    </cfRule>
  </conditionalFormatting>
  <conditionalFormatting sqref="P1078:P1080">
    <cfRule type="cellIs" dxfId="61" priority="2" operator="greaterThan">
      <formula>0</formula>
    </cfRule>
  </conditionalFormatting>
  <conditionalFormatting sqref="B1078:B1080">
    <cfRule type="duplicateValues" dxfId="60" priority="1"/>
  </conditionalFormatting>
  <pageMargins left="0.43" right="0.23" top="0.73" bottom="0.31" header="0.25" footer="0.14000000000000001"/>
  <pageSetup paperSize="9" orientation="landscape" blackAndWhite="1" useFirstPageNumber="1"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U132"/>
  <sheetViews>
    <sheetView showZeros="0" view="pageBreakPreview" zoomScaleNormal="100" zoomScaleSheetLayoutView="100" workbookViewId="0">
      <pane ySplit="7" topLeftCell="A23" activePane="bottomLeft" state="frozen"/>
      <selection activeCell="D12" sqref="D12"/>
      <selection pane="bottomLeft" activeCell="H135" sqref="H135"/>
    </sheetView>
  </sheetViews>
  <sheetFormatPr defaultColWidth="9" defaultRowHeight="16.8" outlineLevelRow="1"/>
  <cols>
    <col min="1" max="1" width="9" style="88"/>
    <col min="2" max="2" width="5.453125" style="89" customWidth="1"/>
    <col min="3" max="3" width="30.453125" style="89" customWidth="1"/>
    <col min="4" max="4" width="5.81640625" style="89" customWidth="1"/>
    <col min="5" max="5" width="6.1796875" style="89" customWidth="1"/>
    <col min="6" max="6" width="11.54296875" style="89" customWidth="1"/>
    <col min="7" max="9" width="5.6328125" style="89" customWidth="1"/>
    <col min="10" max="10" width="6.453125" style="89" customWidth="1"/>
    <col min="11" max="11" width="7.453125" style="89" customWidth="1"/>
    <col min="12" max="12" width="10.90625" style="89" customWidth="1"/>
    <col min="13" max="13" width="13.6328125" style="89" customWidth="1"/>
    <col min="14" max="14" width="5" style="89" customWidth="1"/>
    <col min="15" max="253" width="8.90625" style="89" customWidth="1"/>
    <col min="254" max="254" width="4" style="89" customWidth="1"/>
    <col min="255" max="255" width="30.453125" style="89" customWidth="1"/>
  </cols>
  <sheetData>
    <row r="1" spans="1:255" hidden="1" outlineLevel="1">
      <c r="C1" s="89" t="str">
        <f>C6</f>
        <v>Tên vật tư</v>
      </c>
      <c r="D1" s="89" t="str">
        <f t="shared" ref="D1:M1" si="0">D6</f>
        <v>Đvt</v>
      </c>
      <c r="E1" s="89" t="str">
        <f t="shared" si="0"/>
        <v>Phiếu Xuất</v>
      </c>
      <c r="F1" s="89">
        <f t="shared" si="0"/>
        <v>0</v>
      </c>
      <c r="G1" s="89" t="s">
        <v>26</v>
      </c>
      <c r="H1" s="89" t="s">
        <v>73</v>
      </c>
      <c r="I1" s="89" t="s">
        <v>74</v>
      </c>
      <c r="J1" s="89" t="s">
        <v>75</v>
      </c>
      <c r="K1" s="90" t="s">
        <v>76</v>
      </c>
      <c r="L1" s="90" t="s">
        <v>77</v>
      </c>
      <c r="M1" s="89" t="str">
        <f t="shared" si="0"/>
        <v>Ghi chú</v>
      </c>
    </row>
    <row r="2" spans="1:255" hidden="1" outlineLevel="1">
      <c r="C2" s="89">
        <v>2</v>
      </c>
      <c r="D2" s="89">
        <f>HLOOKUP(D1,[1]XinMoi!1:2,2,0)</f>
        <v>5</v>
      </c>
      <c r="E2" s="89">
        <v>12</v>
      </c>
      <c r="F2" s="89">
        <v>13</v>
      </c>
      <c r="G2" s="89">
        <v>4</v>
      </c>
      <c r="H2" s="89">
        <v>6</v>
      </c>
      <c r="I2" s="89">
        <v>5</v>
      </c>
      <c r="J2" s="89">
        <f>HLOOKUP(J1,[1]XinMoi!1:2,2,0)</f>
        <v>11</v>
      </c>
      <c r="K2" s="89">
        <f>HLOOKUP(K1,[1]XinMoi!1:2,2,0)</f>
        <v>12</v>
      </c>
      <c r="L2" s="89">
        <f>HLOOKUP(L1,[1]XinMoi!1:2,2,0)</f>
        <v>13</v>
      </c>
      <c r="M2" s="89">
        <f>HLOOKUP(M1,[1]XinMoi!1:2,2,0)</f>
        <v>16</v>
      </c>
    </row>
    <row r="3" spans="1:255" ht="27" customHeight="1" collapsed="1">
      <c r="B3" s="91" t="s">
        <v>78</v>
      </c>
      <c r="C3" s="92"/>
      <c r="D3" s="92"/>
      <c r="E3" s="92"/>
      <c r="F3" s="92"/>
      <c r="G3" s="92"/>
      <c r="H3" s="92"/>
      <c r="I3" s="92"/>
      <c r="J3" s="92"/>
      <c r="K3" s="92"/>
      <c r="L3" s="92"/>
      <c r="M3" s="92"/>
    </row>
    <row r="4" spans="1:255" ht="21" customHeight="1">
      <c r="B4" s="255" t="str">
        <f>"Công Trình: "&amp;INFO!B2&amp;"."</f>
        <v>Công Trình: CÔNG TY TNHH
THU LỘC.</v>
      </c>
      <c r="C4" s="255"/>
      <c r="D4" s="255"/>
      <c r="E4" s="255"/>
      <c r="F4" s="255"/>
      <c r="G4" s="255"/>
      <c r="H4" s="255"/>
      <c r="I4" s="255"/>
      <c r="J4" s="255"/>
      <c r="K4" s="255"/>
      <c r="L4" s="255"/>
      <c r="M4" s="255"/>
    </row>
    <row r="5" spans="1:255" ht="18" customHeight="1">
      <c r="B5" s="256" t="str">
        <f>" Địa Điểm: "&amp;INFO!E2</f>
        <v xml:space="preserve"> Địa Điểm: Ông</v>
      </c>
      <c r="C5" s="256"/>
      <c r="D5" s="256"/>
      <c r="E5" s="256"/>
      <c r="F5" s="256"/>
      <c r="G5" s="256"/>
      <c r="H5" s="256"/>
      <c r="I5" s="256"/>
      <c r="J5" s="256"/>
      <c r="K5" s="256"/>
      <c r="L5" s="256"/>
      <c r="M5" s="256"/>
    </row>
    <row r="6" spans="1:255" ht="21" customHeight="1">
      <c r="B6" s="257" t="s">
        <v>68</v>
      </c>
      <c r="C6" s="257" t="s">
        <v>44</v>
      </c>
      <c r="D6" s="257" t="s">
        <v>23</v>
      </c>
      <c r="E6" s="258" t="s">
        <v>79</v>
      </c>
      <c r="F6" s="259"/>
      <c r="G6" s="258" t="s">
        <v>80</v>
      </c>
      <c r="H6" s="260"/>
      <c r="I6" s="260"/>
      <c r="J6" s="259"/>
      <c r="K6" s="258" t="s">
        <v>81</v>
      </c>
      <c r="L6" s="259"/>
      <c r="M6" s="261" t="s">
        <v>25</v>
      </c>
      <c r="N6" s="89" t="s">
        <v>28</v>
      </c>
    </row>
    <row r="7" spans="1:255" ht="33.6">
      <c r="A7" s="88" t="s">
        <v>82</v>
      </c>
      <c r="B7" s="257"/>
      <c r="C7" s="257"/>
      <c r="D7" s="257"/>
      <c r="E7" s="90" t="s">
        <v>76</v>
      </c>
      <c r="F7" s="90" t="s">
        <v>77</v>
      </c>
      <c r="G7" s="90" t="s">
        <v>26</v>
      </c>
      <c r="H7" s="90" t="s">
        <v>73</v>
      </c>
      <c r="I7" s="93" t="s">
        <v>74</v>
      </c>
      <c r="J7" s="90" t="s">
        <v>75</v>
      </c>
      <c r="K7" s="90" t="s">
        <v>76</v>
      </c>
      <c r="L7" s="90" t="s">
        <v>77</v>
      </c>
      <c r="M7" s="262"/>
      <c r="N7" s="89">
        <v>1</v>
      </c>
      <c r="O7" s="89">
        <f>SUM(O9:O1048576)</f>
        <v>124</v>
      </c>
    </row>
    <row r="8" spans="1:255" s="97" customFormat="1" hidden="1">
      <c r="A8" s="94" t="s">
        <v>83</v>
      </c>
      <c r="B8" s="95" t="e">
        <f>VLOOKUP(A8,xinmoi,[1]XinMoi!B$2,0)</f>
        <v>#NAME?</v>
      </c>
      <c r="C8" s="95">
        <f>[1]XinMoi!D2-1</f>
        <v>3</v>
      </c>
      <c r="D8" s="95">
        <f>[1]XinMoi!E2-1</f>
        <v>4</v>
      </c>
      <c r="E8" s="95">
        <f>[1]XinMoi!N2-1</f>
        <v>13</v>
      </c>
      <c r="F8" s="95">
        <f>[1]XinMoi!O2-1</f>
        <v>14</v>
      </c>
      <c r="G8" s="95">
        <f>[1]XinMoi!F2-1</f>
        <v>5</v>
      </c>
      <c r="H8" s="95">
        <f>[1]XinMoi!H2-1</f>
        <v>7</v>
      </c>
      <c r="I8" s="95">
        <f>[1]XinMoi!G2-1</f>
        <v>6</v>
      </c>
      <c r="J8" s="95">
        <f>[1]XinMoi!K2-1</f>
        <v>10</v>
      </c>
      <c r="K8" s="95">
        <f>[1]XinMoi!L2-1</f>
        <v>11</v>
      </c>
      <c r="L8" s="95">
        <f>[1]XinMoi!M2-1</f>
        <v>12</v>
      </c>
      <c r="M8" s="95">
        <f>[1]XinMoi!P2-1</f>
        <v>15</v>
      </c>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c r="CE8" s="96"/>
      <c r="CF8" s="96"/>
      <c r="CG8" s="96"/>
      <c r="CH8" s="96"/>
      <c r="CI8" s="96"/>
      <c r="CJ8" s="96"/>
      <c r="CK8" s="96"/>
      <c r="CL8" s="96"/>
      <c r="CM8" s="96"/>
      <c r="CN8" s="96"/>
      <c r="CO8" s="96"/>
      <c r="CP8" s="96"/>
      <c r="CQ8" s="96"/>
      <c r="CR8" s="96"/>
      <c r="CS8" s="96"/>
      <c r="CT8" s="96"/>
      <c r="CU8" s="96"/>
      <c r="CV8" s="96"/>
      <c r="CW8" s="96"/>
      <c r="CX8" s="96"/>
      <c r="CY8" s="96"/>
      <c r="CZ8" s="96"/>
      <c r="DA8" s="96"/>
      <c r="DB8" s="96"/>
      <c r="DC8" s="96"/>
      <c r="DD8" s="96"/>
      <c r="DE8" s="96"/>
      <c r="DF8" s="96"/>
      <c r="DG8" s="96"/>
      <c r="DH8" s="96"/>
      <c r="DI8" s="96"/>
      <c r="DJ8" s="96"/>
      <c r="DK8" s="96"/>
      <c r="DL8" s="96"/>
      <c r="DM8" s="96"/>
      <c r="DN8" s="96"/>
      <c r="DO8" s="96"/>
      <c r="DP8" s="96"/>
      <c r="DQ8" s="96"/>
      <c r="DR8" s="96"/>
      <c r="DS8" s="96"/>
      <c r="DT8" s="96"/>
      <c r="DU8" s="96"/>
      <c r="DV8" s="96"/>
      <c r="DW8" s="96"/>
      <c r="DX8" s="96"/>
      <c r="DY8" s="96"/>
      <c r="DZ8" s="96"/>
      <c r="EA8" s="96"/>
      <c r="EB8" s="96"/>
      <c r="EC8" s="96"/>
      <c r="ED8" s="96"/>
      <c r="EE8" s="96"/>
      <c r="EF8" s="96"/>
      <c r="EG8" s="96"/>
      <c r="EH8" s="96"/>
      <c r="EI8" s="96"/>
      <c r="EJ8" s="96"/>
      <c r="EK8" s="96"/>
      <c r="EL8" s="96"/>
      <c r="EM8" s="96"/>
      <c r="EN8" s="96"/>
      <c r="EO8" s="96"/>
      <c r="EP8" s="96"/>
      <c r="EQ8" s="96"/>
      <c r="ER8" s="96"/>
      <c r="ES8" s="96"/>
      <c r="ET8" s="96"/>
      <c r="EU8" s="96"/>
      <c r="EV8" s="96"/>
      <c r="EW8" s="96"/>
      <c r="EX8" s="96"/>
      <c r="EY8" s="96"/>
      <c r="EZ8" s="96"/>
      <c r="FA8" s="96"/>
      <c r="FB8" s="96"/>
      <c r="FC8" s="96"/>
      <c r="FD8" s="96"/>
      <c r="FE8" s="96"/>
      <c r="FF8" s="96"/>
      <c r="FG8" s="96"/>
      <c r="FH8" s="96"/>
      <c r="FI8" s="96"/>
      <c r="FJ8" s="96"/>
      <c r="FK8" s="96"/>
      <c r="FL8" s="96"/>
      <c r="FM8" s="96"/>
      <c r="FN8" s="96"/>
      <c r="FO8" s="96"/>
      <c r="FP8" s="96"/>
      <c r="FQ8" s="96"/>
      <c r="FR8" s="96"/>
      <c r="FS8" s="96"/>
      <c r="FT8" s="96"/>
      <c r="FU8" s="96"/>
      <c r="FV8" s="96"/>
      <c r="FW8" s="96"/>
      <c r="FX8" s="96"/>
      <c r="FY8" s="96"/>
      <c r="FZ8" s="96"/>
      <c r="GA8" s="96"/>
      <c r="GB8" s="96"/>
      <c r="GC8" s="96"/>
      <c r="GD8" s="96"/>
      <c r="GE8" s="96"/>
      <c r="GF8" s="96"/>
      <c r="GG8" s="96"/>
      <c r="GH8" s="96"/>
      <c r="GI8" s="96"/>
      <c r="GJ8" s="96"/>
      <c r="GK8" s="96"/>
      <c r="GL8" s="96"/>
      <c r="GM8" s="96"/>
      <c r="GN8" s="96"/>
      <c r="GO8" s="96"/>
      <c r="GP8" s="96"/>
      <c r="GQ8" s="96"/>
      <c r="GR8" s="96"/>
      <c r="GS8" s="96"/>
      <c r="GT8" s="96"/>
      <c r="GU8" s="96"/>
      <c r="GV8" s="96"/>
      <c r="GW8" s="96"/>
      <c r="GX8" s="96"/>
      <c r="GY8" s="96"/>
      <c r="GZ8" s="96"/>
      <c r="HA8" s="96"/>
      <c r="HB8" s="96"/>
      <c r="HC8" s="96"/>
      <c r="HD8" s="96"/>
      <c r="HE8" s="96"/>
      <c r="HF8" s="96"/>
      <c r="HG8" s="96"/>
      <c r="HH8" s="96"/>
      <c r="HI8" s="96"/>
      <c r="HJ8" s="96"/>
      <c r="HK8" s="96"/>
      <c r="HL8" s="96"/>
      <c r="HM8" s="96"/>
      <c r="HN8" s="96"/>
      <c r="HO8" s="96"/>
      <c r="HP8" s="96"/>
      <c r="HQ8" s="96"/>
      <c r="HR8" s="96"/>
      <c r="HS8" s="96"/>
      <c r="HT8" s="96"/>
      <c r="HU8" s="96"/>
      <c r="HV8" s="96"/>
      <c r="HW8" s="96"/>
      <c r="HX8" s="96"/>
      <c r="HY8" s="96"/>
      <c r="HZ8" s="96"/>
      <c r="IA8" s="96"/>
      <c r="IB8" s="96"/>
      <c r="IC8" s="96"/>
      <c r="ID8" s="96"/>
      <c r="IE8" s="96"/>
      <c r="IF8" s="96"/>
      <c r="IG8" s="96"/>
      <c r="IH8" s="96"/>
      <c r="II8" s="96"/>
      <c r="IJ8" s="96"/>
      <c r="IK8" s="96"/>
      <c r="IL8" s="96"/>
      <c r="IM8" s="96"/>
      <c r="IN8" s="96"/>
      <c r="IO8" s="96"/>
      <c r="IP8" s="96"/>
      <c r="IQ8" s="96"/>
      <c r="IR8" s="96"/>
      <c r="IS8" s="96"/>
      <c r="IT8" s="96"/>
      <c r="IU8" s="96"/>
    </row>
    <row r="9" spans="1:255" ht="20.100000000000001" customHeight="1">
      <c r="A9" s="88" t="str">
        <f>[1]XinMoi!A3</f>
        <v>13.15.82.585</v>
      </c>
      <c r="B9" s="98">
        <v>1</v>
      </c>
      <c r="C9" s="99" t="str">
        <f>VLOOKUP($B9,[1]XinMoi!$B:$O,C$8,0)</f>
        <v>Cáp CXV -24kV 185mm2</v>
      </c>
      <c r="D9" s="100" t="str">
        <f>VLOOKUP($B9,[1]XinMoi!$B:$P,D$8,0)</f>
        <v>mét</v>
      </c>
      <c r="E9" s="101">
        <f>VLOOKUP($B9,[1]XinMoi!$B:$P,E$8,0)</f>
        <v>84</v>
      </c>
      <c r="F9" s="102">
        <f>VLOOKUP($B9,[1]XinMoi!$B:$P,F$8,0)</f>
        <v>42915</v>
      </c>
      <c r="G9" s="100">
        <f>VLOOKUP($B9,[1]XinMoi!$B:$P,G$8,0)</f>
        <v>12</v>
      </c>
      <c r="H9" s="100">
        <f>VLOOKUP($B9,[1]XinMoi!$B:$P,H$8,0)</f>
        <v>12</v>
      </c>
      <c r="I9" s="100">
        <f>VLOOKUP($B9,[1]XinMoi!$B:$P,I$8,0)</f>
        <v>12</v>
      </c>
      <c r="J9" s="100">
        <f>VLOOKUP($B9,[1]XinMoi!$B:$P,J$8,0)</f>
        <v>0</v>
      </c>
      <c r="K9" s="100" t="str">
        <f>VLOOKUP($B9,[1]XinMoi!$B:$P,K$8,0)</f>
        <v xml:space="preserve">  </v>
      </c>
      <c r="L9" s="100" t="str">
        <f>VLOOKUP($B9,[1]XinMoi!$B:$P,L$8,0)</f>
        <v xml:space="preserve">  </v>
      </c>
      <c r="M9" s="100" t="str">
        <f>VLOOKUP($B9,[1]XinMoi!$B:$Z,M$8,0)</f>
        <v xml:space="preserve">  </v>
      </c>
      <c r="N9" s="89">
        <f>IF(OR(G9&gt;0,H9&gt;0,I9&gt;0),1,0)</f>
        <v>1</v>
      </c>
      <c r="O9" s="89">
        <v>1</v>
      </c>
    </row>
    <row r="10" spans="1:255" ht="20.100000000000001" customHeight="1">
      <c r="A10" s="88" t="str">
        <f>[1]XinMoi!A6</f>
        <v>14.38.00.028</v>
      </c>
      <c r="B10" s="98">
        <v>2</v>
      </c>
      <c r="C10" s="99" t="str">
        <f>VLOOKUP($B10,[1]XinMoi!$B:$J,C$8,0)</f>
        <v>Đầu coss ép Cu 185mm2</v>
      </c>
      <c r="D10" s="100" t="str">
        <f>VLOOKUP($B10,[1]XinMoi!$B:$P,D$8,0)</f>
        <v>cái</v>
      </c>
      <c r="E10" s="101">
        <f>VLOOKUP($B10,[1]XinMoi!$B:$P,E$8,0)</f>
        <v>84</v>
      </c>
      <c r="F10" s="102">
        <f>VLOOKUP($B10,[1]XinMoi!$B:$P,F$8,0)</f>
        <v>42915</v>
      </c>
      <c r="G10" s="100">
        <f>VLOOKUP($B10,[1]XinMoi!$B:$P,G$8,0)</f>
        <v>6</v>
      </c>
      <c r="H10" s="100">
        <f>VLOOKUP($B10,[1]XinMoi!$B:$P,H$8,0)</f>
        <v>6</v>
      </c>
      <c r="I10" s="100">
        <f>VLOOKUP($B10,[1]XinMoi!$B:$P,I$8,0)</f>
        <v>6</v>
      </c>
      <c r="J10" s="100">
        <f>VLOOKUP($B10,[1]XinMoi!$B:$P,J$8,0)</f>
        <v>0</v>
      </c>
      <c r="K10" s="100" t="str">
        <f>VLOOKUP($B10,[1]XinMoi!$B:$P,K$8,0)</f>
        <v xml:space="preserve">  </v>
      </c>
      <c r="L10" s="100" t="str">
        <f>VLOOKUP($B10,[1]XinMoi!$B:$P,L$8,0)</f>
        <v xml:space="preserve">  </v>
      </c>
      <c r="M10" s="100" t="str">
        <f>VLOOKUP($B10,[1]XinMoi!$B:$Z,M$8,0)</f>
        <v xml:space="preserve">  </v>
      </c>
      <c r="N10" s="89">
        <f t="shared" ref="N10:N73" si="1">IF(OR(G10&gt;0,H10&gt;0,I10&gt;0),1,0)</f>
        <v>1</v>
      </c>
      <c r="O10" s="89">
        <f>B10-B9</f>
        <v>1</v>
      </c>
    </row>
    <row r="11" spans="1:255" ht="20.100000000000001" customHeight="1">
      <c r="A11" s="88" t="str">
        <f>[1]XinMoi!A7</f>
        <v>14.38.00.030</v>
      </c>
      <c r="B11" s="98">
        <v>3</v>
      </c>
      <c r="C11" s="99" t="str">
        <f>VLOOKUP($B11,[1]XinMoi!$B:$J,C$8,0)</f>
        <v>Kẹp ép WR 875</v>
      </c>
      <c r="D11" s="100" t="str">
        <f>VLOOKUP($B11,[1]XinMoi!$B:$P,D$8,0)</f>
        <v>cái</v>
      </c>
      <c r="E11" s="101">
        <f>VLOOKUP($B11,[1]XinMoi!$B:$P,E$8,0)</f>
        <v>84</v>
      </c>
      <c r="F11" s="102">
        <f>VLOOKUP($B11,[1]XinMoi!$B:$P,F$8,0)</f>
        <v>42915</v>
      </c>
      <c r="G11" s="100">
        <f>VLOOKUP($B11,[1]XinMoi!$B:$P,G$8,0)</f>
        <v>6</v>
      </c>
      <c r="H11" s="100">
        <f>VLOOKUP($B11,[1]XinMoi!$B:$P,H$8,0)</f>
        <v>6</v>
      </c>
      <c r="I11" s="100">
        <f>VLOOKUP($B11,[1]XinMoi!$B:$P,I$8,0)</f>
        <v>6</v>
      </c>
      <c r="J11" s="100">
        <f>VLOOKUP($B11,[1]XinMoi!$B:$P,J$8,0)</f>
        <v>0</v>
      </c>
      <c r="K11" s="100" t="str">
        <f>VLOOKUP($B11,[1]XinMoi!$B:$P,K$8,0)</f>
        <v xml:space="preserve">  </v>
      </c>
      <c r="L11" s="100" t="str">
        <f>VLOOKUP($B11,[1]XinMoi!$B:$P,L$8,0)</f>
        <v xml:space="preserve">  </v>
      </c>
      <c r="M11" s="100" t="str">
        <f>VLOOKUP($B11,[1]XinMoi!$B:$Z,M$8,0)</f>
        <v xml:space="preserve">  </v>
      </c>
      <c r="N11" s="89">
        <f t="shared" si="1"/>
        <v>1</v>
      </c>
      <c r="O11" s="89">
        <f t="shared" ref="O11:O74" si="2">B11-B10</f>
        <v>1</v>
      </c>
    </row>
    <row r="12" spans="1:255" ht="20.100000000000001" customHeight="1">
      <c r="A12" s="88" t="str">
        <f>[1]XinMoi!A8</f>
        <v>14.38.00.065</v>
      </c>
      <c r="B12" s="98">
        <v>4</v>
      </c>
      <c r="C12" s="99" t="str">
        <f>VLOOKUP($B12,[1]XinMoi!$B:$J,C$8,0)</f>
        <v>Boulon 12x40/Zn</v>
      </c>
      <c r="D12" s="100" t="str">
        <f>VLOOKUP($B12,[1]XinMoi!$B:$P,D$8,0)</f>
        <v>cái</v>
      </c>
      <c r="E12" s="101" t="str">
        <f>VLOOKUP($B12,[1]XinMoi!$B:$P,E$8,0)</f>
        <v/>
      </c>
      <c r="F12" s="102" t="str">
        <f>VLOOKUP($B12,[1]XinMoi!$B:$P,F$8,0)</f>
        <v/>
      </c>
      <c r="G12" s="100">
        <f>VLOOKUP($B12,[1]XinMoi!$B:$P,G$8,0)</f>
        <v>18</v>
      </c>
      <c r="H12" s="100">
        <f>VLOOKUP($B12,[1]XinMoi!$B:$P,H$8,0)</f>
        <v>0</v>
      </c>
      <c r="I12" s="100">
        <f>VLOOKUP($B12,[1]XinMoi!$B:$P,I$8,0)</f>
        <v>0</v>
      </c>
      <c r="J12" s="100">
        <f>VLOOKUP($B12,[1]XinMoi!$B:$P,J$8,0)</f>
        <v>0</v>
      </c>
      <c r="K12" s="100" t="str">
        <f>VLOOKUP($B12,[1]XinMoi!$B:$P,K$8,0)</f>
        <v xml:space="preserve">  </v>
      </c>
      <c r="L12" s="100" t="str">
        <f>VLOOKUP($B12,[1]XinMoi!$B:$P,L$8,0)</f>
        <v xml:space="preserve">  </v>
      </c>
      <c r="M12" s="100" t="str">
        <f>VLOOKUP($B12,[1]XinMoi!$B:$Z,M$8,0)</f>
        <v xml:space="preserve">  </v>
      </c>
      <c r="N12" s="89">
        <f t="shared" si="1"/>
        <v>1</v>
      </c>
      <c r="O12" s="89">
        <f t="shared" si="2"/>
        <v>1</v>
      </c>
    </row>
    <row r="13" spans="1:255" ht="20.100000000000001" customHeight="1">
      <c r="A13" s="88" t="str">
        <f>[1]XinMoi!A10</f>
        <v>14.38.00.067</v>
      </c>
      <c r="B13" s="98">
        <v>5</v>
      </c>
      <c r="C13" s="99" t="str">
        <f>VLOOKUP($B13,[1]XinMoi!$B:$J,C$8,0)</f>
        <v>Boulon 12x50/Zn</v>
      </c>
      <c r="D13" s="100" t="str">
        <f>VLOOKUP($B13,[1]XinMoi!$B:$P,D$8,0)</f>
        <v>cái</v>
      </c>
      <c r="E13" s="101">
        <f>VLOOKUP($B13,[1]XinMoi!$B:$P,E$8,0)</f>
        <v>84</v>
      </c>
      <c r="F13" s="102">
        <f>VLOOKUP($B13,[1]XinMoi!$B:$P,F$8,0)</f>
        <v>42915</v>
      </c>
      <c r="G13" s="100">
        <f>VLOOKUP($B13,[1]XinMoi!$B:$P,G$8,0)</f>
        <v>0</v>
      </c>
      <c r="H13" s="100">
        <f>VLOOKUP($B13,[1]XinMoi!$B:$P,H$8,0)</f>
        <v>18</v>
      </c>
      <c r="I13" s="100">
        <f>VLOOKUP($B13,[1]XinMoi!$B:$P,I$8,0)</f>
        <v>18</v>
      </c>
      <c r="J13" s="100">
        <f>VLOOKUP($B13,[1]XinMoi!$B:$P,J$8,0)</f>
        <v>0</v>
      </c>
      <c r="K13" s="100" t="str">
        <f>VLOOKUP($B13,[1]XinMoi!$B:$P,K$8,0)</f>
        <v xml:space="preserve">  </v>
      </c>
      <c r="L13" s="100" t="str">
        <f>VLOOKUP($B13,[1]XinMoi!$B:$P,L$8,0)</f>
        <v xml:space="preserve">  </v>
      </c>
      <c r="M13" s="100" t="str">
        <f>VLOOKUP($B13,[1]XinMoi!$B:$Z,M$8,0)</f>
        <v xml:space="preserve">  </v>
      </c>
      <c r="N13" s="89">
        <f t="shared" si="1"/>
        <v>1</v>
      </c>
      <c r="O13" s="89">
        <f t="shared" si="2"/>
        <v>1</v>
      </c>
    </row>
    <row r="14" spans="1:255" ht="20.100000000000001" customHeight="1">
      <c r="A14" s="88" t="str">
        <f>[1]XinMoi!A11</f>
        <v>14.90.80.009</v>
      </c>
      <c r="B14" s="98">
        <v>6</v>
      </c>
      <c r="C14" s="99" t="str">
        <f>VLOOKUP($B14,[1]XinMoi!$B:$J,C$8,0)</f>
        <v>Boulon 16x300/Zn</v>
      </c>
      <c r="D14" s="100" t="str">
        <f>VLOOKUP($B14,[1]XinMoi!$B:$P,D$8,0)</f>
        <v>cái</v>
      </c>
      <c r="E14" s="101">
        <f>VLOOKUP($B14,[1]XinMoi!$B:$P,E$8,0)</f>
        <v>84</v>
      </c>
      <c r="F14" s="102">
        <f>VLOOKUP($B14,[1]XinMoi!$B:$P,F$8,0)</f>
        <v>42915</v>
      </c>
      <c r="G14" s="100">
        <f>VLOOKUP($B14,[1]XinMoi!$B:$P,G$8,0)</f>
        <v>4</v>
      </c>
      <c r="H14" s="100">
        <f>VLOOKUP($B14,[1]XinMoi!$B:$P,H$8,0)</f>
        <v>4</v>
      </c>
      <c r="I14" s="100">
        <f>VLOOKUP($B14,[1]XinMoi!$B:$P,I$8,0)</f>
        <v>4</v>
      </c>
      <c r="J14" s="100">
        <f>VLOOKUP($B14,[1]XinMoi!$B:$P,J$8,0)</f>
        <v>0</v>
      </c>
      <c r="K14" s="100" t="str">
        <f>VLOOKUP($B14,[1]XinMoi!$B:$P,K$8,0)</f>
        <v xml:space="preserve">  </v>
      </c>
      <c r="L14" s="100" t="str">
        <f>VLOOKUP($B14,[1]XinMoi!$B:$P,L$8,0)</f>
        <v xml:space="preserve">  </v>
      </c>
      <c r="M14" s="100" t="str">
        <f>VLOOKUP($B14,[1]XinMoi!$B:$Z,M$8,0)</f>
        <v xml:space="preserve">  </v>
      </c>
      <c r="N14" s="89">
        <f t="shared" si="1"/>
        <v>1</v>
      </c>
      <c r="O14" s="89">
        <f t="shared" si="2"/>
        <v>1</v>
      </c>
    </row>
    <row r="15" spans="1:255" ht="20.100000000000001" customHeight="1">
      <c r="A15" s="88" t="str">
        <f>[1]XinMoi!A13</f>
        <v>14.90.80.400</v>
      </c>
      <c r="B15" s="98">
        <v>7</v>
      </c>
      <c r="C15" s="99" t="str">
        <f>VLOOKUP($B15,[1]XinMoi!$B:$J,C$8,0)</f>
        <v>Boulon 16x450/Zn</v>
      </c>
      <c r="D15" s="100" t="str">
        <f>VLOOKUP($B15,[1]XinMoi!$B:$P,D$8,0)</f>
        <v>cái</v>
      </c>
      <c r="E15" s="101" t="str">
        <f>VLOOKUP($B15,[1]XinMoi!$B:$P,E$8,0)</f>
        <v/>
      </c>
      <c r="F15" s="102" t="str">
        <f>VLOOKUP($B15,[1]XinMoi!$B:$P,F$8,0)</f>
        <v/>
      </c>
      <c r="G15" s="100">
        <f>VLOOKUP($B15,[1]XinMoi!$B:$P,G$8,0)</f>
        <v>2</v>
      </c>
      <c r="H15" s="100">
        <f>VLOOKUP($B15,[1]XinMoi!$B:$P,H$8,0)</f>
        <v>0</v>
      </c>
      <c r="I15" s="100">
        <f>VLOOKUP($B15,[1]XinMoi!$B:$P,I$8,0)</f>
        <v>0</v>
      </c>
      <c r="J15" s="100">
        <f>VLOOKUP($B15,[1]XinMoi!$B:$P,J$8,0)</f>
        <v>0</v>
      </c>
      <c r="K15" s="100" t="str">
        <f>VLOOKUP($B15,[1]XinMoi!$B:$P,K$8,0)</f>
        <v xml:space="preserve">  </v>
      </c>
      <c r="L15" s="100" t="str">
        <f>VLOOKUP($B15,[1]XinMoi!$B:$P,L$8,0)</f>
        <v xml:space="preserve">  </v>
      </c>
      <c r="M15" s="100" t="str">
        <f>VLOOKUP($B15,[1]XinMoi!$B:$Z,M$8,0)</f>
        <v xml:space="preserve">  </v>
      </c>
      <c r="N15" s="89">
        <f t="shared" si="1"/>
        <v>1</v>
      </c>
      <c r="O15" s="89">
        <f t="shared" si="2"/>
        <v>1</v>
      </c>
    </row>
    <row r="16" spans="1:255" ht="20.100000000000001" customHeight="1">
      <c r="A16" s="88" t="str">
        <f>[1]XinMoi!A15</f>
        <v>14.70.21.018</v>
      </c>
      <c r="B16" s="98">
        <v>8</v>
      </c>
      <c r="C16" s="99" t="str">
        <f>VLOOKUP($B16,[1]XinMoi!$B:$J,C$8,0)</f>
        <v>Boulon 16x400/Zn</v>
      </c>
      <c r="D16" s="100" t="str">
        <f>VLOOKUP($B16,[1]XinMoi!$B:$P,D$8,0)</f>
        <v>cái</v>
      </c>
      <c r="E16" s="101">
        <f>VLOOKUP($B16,[1]XinMoi!$B:$P,E$8,0)</f>
        <v>84</v>
      </c>
      <c r="F16" s="102">
        <f>VLOOKUP($B16,[1]XinMoi!$B:$P,F$8,0)</f>
        <v>42915</v>
      </c>
      <c r="G16" s="100">
        <f>VLOOKUP($B16,[1]XinMoi!$B:$P,G$8,0)</f>
        <v>0</v>
      </c>
      <c r="H16" s="100">
        <f>VLOOKUP($B16,[1]XinMoi!$B:$P,H$8,0)</f>
        <v>2</v>
      </c>
      <c r="I16" s="100">
        <f>VLOOKUP($B16,[1]XinMoi!$B:$P,I$8,0)</f>
        <v>2</v>
      </c>
      <c r="J16" s="100">
        <f>VLOOKUP($B16,[1]XinMoi!$B:$P,J$8,0)</f>
        <v>0</v>
      </c>
      <c r="K16" s="100" t="str">
        <f>VLOOKUP($B16,[1]XinMoi!$B:$P,K$8,0)</f>
        <v xml:space="preserve">  </v>
      </c>
      <c r="L16" s="100" t="str">
        <f>VLOOKUP($B16,[1]XinMoi!$B:$P,L$8,0)</f>
        <v xml:space="preserve">  </v>
      </c>
      <c r="M16" s="100">
        <f>VLOOKUP($B16,[1]XinMoi!$B:$Z,M$8,0)</f>
        <v>0</v>
      </c>
      <c r="N16" s="89">
        <f t="shared" si="1"/>
        <v>1</v>
      </c>
      <c r="O16" s="89">
        <f t="shared" si="2"/>
        <v>1</v>
      </c>
    </row>
    <row r="17" spans="1:15" ht="20.100000000000001" customHeight="1">
      <c r="A17" s="88" t="str">
        <f>[1]XinMoi!A16</f>
        <v>14.90.21.027</v>
      </c>
      <c r="B17" s="98">
        <v>9</v>
      </c>
      <c r="C17" s="99" t="str">
        <f>VLOOKUP($B17,[1]XinMoi!$B:$J,C$8,0)</f>
        <v>Chụp LA</v>
      </c>
      <c r="D17" s="100" t="str">
        <f>VLOOKUP($B17,[1]XinMoi!$B:$P,D$8,0)</f>
        <v>cái</v>
      </c>
      <c r="E17" s="101">
        <f>VLOOKUP($B17,[1]XinMoi!$B:$P,E$8,0)</f>
        <v>84</v>
      </c>
      <c r="F17" s="102">
        <f>VLOOKUP($B17,[1]XinMoi!$B:$P,F$8,0)</f>
        <v>42915</v>
      </c>
      <c r="G17" s="100">
        <f>VLOOKUP($B17,[1]XinMoi!$B:$P,G$8,0)</f>
        <v>6</v>
      </c>
      <c r="H17" s="100">
        <f>VLOOKUP($B17,[1]XinMoi!$B:$P,H$8,0)</f>
        <v>6</v>
      </c>
      <c r="I17" s="100">
        <f>VLOOKUP($B17,[1]XinMoi!$B:$P,I$8,0)</f>
        <v>6</v>
      </c>
      <c r="J17" s="100">
        <f>VLOOKUP($B17,[1]XinMoi!$B:$P,J$8,0)</f>
        <v>0</v>
      </c>
      <c r="K17" s="100" t="str">
        <f>VLOOKUP($B17,[1]XinMoi!$B:$P,K$8,0)</f>
        <v xml:space="preserve">  </v>
      </c>
      <c r="L17" s="100" t="str">
        <f>VLOOKUP($B17,[1]XinMoi!$B:$P,L$8,0)</f>
        <v xml:space="preserve">  </v>
      </c>
      <c r="M17" s="100" t="str">
        <f>VLOOKUP($B17,[1]XinMoi!$B:$Z,M$8,0)</f>
        <v xml:space="preserve">  </v>
      </c>
      <c r="N17" s="89">
        <f t="shared" si="1"/>
        <v>1</v>
      </c>
      <c r="O17" s="89">
        <f t="shared" si="2"/>
        <v>1</v>
      </c>
    </row>
    <row r="18" spans="1:15" ht="20.100000000000001" customHeight="1">
      <c r="A18" s="88" t="str">
        <f>[1]XinMoi!A17</f>
        <v>14.90.21.060</v>
      </c>
      <c r="B18" s="98">
        <v>10</v>
      </c>
      <c r="C18" s="99" t="str">
        <f>VLOOKUP($B18,[1]XinMoi!$B:$J,C$8,0)</f>
        <v>Chụp bussing recloser</v>
      </c>
      <c r="D18" s="100" t="str">
        <f>VLOOKUP($B18,[1]XinMoi!$B:$P,D$8,0)</f>
        <v>cái</v>
      </c>
      <c r="E18" s="101">
        <f>VLOOKUP($B18,[1]XinMoi!$B:$P,E$8,0)</f>
        <v>84</v>
      </c>
      <c r="F18" s="102">
        <f>VLOOKUP($B18,[1]XinMoi!$B:$P,F$8,0)</f>
        <v>42915</v>
      </c>
      <c r="G18" s="100">
        <f>VLOOKUP($B18,[1]XinMoi!$B:$P,G$8,0)</f>
        <v>6</v>
      </c>
      <c r="H18" s="100">
        <f>VLOOKUP($B18,[1]XinMoi!$B:$P,H$8,0)</f>
        <v>6</v>
      </c>
      <c r="I18" s="100">
        <f>VLOOKUP($B18,[1]XinMoi!$B:$P,I$8,0)</f>
        <v>6</v>
      </c>
      <c r="J18" s="100">
        <f>VLOOKUP($B18,[1]XinMoi!$B:$P,J$8,0)</f>
        <v>0</v>
      </c>
      <c r="K18" s="100" t="str">
        <f>VLOOKUP($B18,[1]XinMoi!$B:$P,K$8,0)</f>
        <v xml:space="preserve">  </v>
      </c>
      <c r="L18" s="100" t="str">
        <f>VLOOKUP($B18,[1]XinMoi!$B:$P,L$8,0)</f>
        <v xml:space="preserve">  </v>
      </c>
      <c r="M18" s="100" t="str">
        <f>VLOOKUP($B18,[1]XinMoi!$B:$Z,M$8,0)</f>
        <v xml:space="preserve">  </v>
      </c>
      <c r="N18" s="89">
        <f t="shared" si="1"/>
        <v>1</v>
      </c>
      <c r="O18" s="89">
        <f t="shared" si="2"/>
        <v>1</v>
      </c>
    </row>
    <row r="19" spans="1:15" ht="20.100000000000001" customHeight="1">
      <c r="A19" s="88" t="str">
        <f>[1]XinMoi!A18</f>
        <v>14.90.51.027</v>
      </c>
      <c r="B19" s="98">
        <v>11</v>
      </c>
      <c r="C19" s="99" t="str">
        <f>VLOOKUP($B19,[1]XinMoi!$B:$J,C$8,0)</f>
        <v xml:space="preserve">Chụp FCO </v>
      </c>
      <c r="D19" s="100" t="str">
        <f>VLOOKUP($B19,[1]XinMoi!$B:$P,D$8,0)</f>
        <v>bộ</v>
      </c>
      <c r="E19" s="101">
        <f>VLOOKUP($B19,[1]XinMoi!$B:$P,E$8,0)</f>
        <v>84</v>
      </c>
      <c r="F19" s="102">
        <f>VLOOKUP($B19,[1]XinMoi!$B:$P,F$8,0)</f>
        <v>42915</v>
      </c>
      <c r="G19" s="100">
        <f>VLOOKUP($B19,[1]XinMoi!$B:$P,G$8,0)</f>
        <v>1</v>
      </c>
      <c r="H19" s="100">
        <f>VLOOKUP($B19,[1]XinMoi!$B:$P,H$8,0)</f>
        <v>1</v>
      </c>
      <c r="I19" s="100">
        <f>VLOOKUP($B19,[1]XinMoi!$B:$P,I$8,0)</f>
        <v>1</v>
      </c>
      <c r="J19" s="100">
        <f>VLOOKUP($B19,[1]XinMoi!$B:$P,J$8,0)</f>
        <v>0</v>
      </c>
      <c r="K19" s="100" t="str">
        <f>VLOOKUP($B19,[1]XinMoi!$B:$P,K$8,0)</f>
        <v xml:space="preserve">  </v>
      </c>
      <c r="L19" s="100" t="str">
        <f>VLOOKUP($B19,[1]XinMoi!$B:$P,L$8,0)</f>
        <v xml:space="preserve">  </v>
      </c>
      <c r="M19" s="100" t="str">
        <f>VLOOKUP($B19,[1]XinMoi!$B:$Z,M$8,0)</f>
        <v xml:space="preserve">  </v>
      </c>
      <c r="N19" s="89">
        <f t="shared" si="1"/>
        <v>1</v>
      </c>
      <c r="O19" s="89">
        <f t="shared" si="2"/>
        <v>1</v>
      </c>
    </row>
    <row r="20" spans="1:15" ht="20.100000000000001" customHeight="1">
      <c r="A20" s="88" t="str">
        <f>[1]XinMoi!A19</f>
        <v>14.90.51.060</v>
      </c>
      <c r="B20" s="98">
        <v>12</v>
      </c>
      <c r="C20" s="99" t="str">
        <f>VLOOKUP($B20,[1]XinMoi!$B:$J,C$8,0)</f>
        <v xml:space="preserve">Long đền vuông 50x50x3/Zn D14 </v>
      </c>
      <c r="D20" s="100" t="str">
        <f>VLOOKUP($B20,[1]XinMoi!$B:$P,D$8,0)</f>
        <v>cái</v>
      </c>
      <c r="E20" s="101">
        <f>VLOOKUP($B20,[1]XinMoi!$B:$P,E$8,0)</f>
        <v>84</v>
      </c>
      <c r="F20" s="102">
        <f>VLOOKUP($B20,[1]XinMoi!$B:$P,F$8,0)</f>
        <v>42915</v>
      </c>
      <c r="G20" s="100">
        <f>VLOOKUP($B20,[1]XinMoi!$B:$P,G$8,0)</f>
        <v>36</v>
      </c>
      <c r="H20" s="100">
        <f>VLOOKUP($B20,[1]XinMoi!$B:$P,H$8,0)</f>
        <v>36</v>
      </c>
      <c r="I20" s="100">
        <f>VLOOKUP($B20,[1]XinMoi!$B:$P,I$8,0)</f>
        <v>36</v>
      </c>
      <c r="J20" s="100">
        <f>VLOOKUP($B20,[1]XinMoi!$B:$P,J$8,0)</f>
        <v>0</v>
      </c>
      <c r="K20" s="100" t="str">
        <f>VLOOKUP($B20,[1]XinMoi!$B:$P,K$8,0)</f>
        <v xml:space="preserve">  </v>
      </c>
      <c r="L20" s="100" t="str">
        <f>VLOOKUP($B20,[1]XinMoi!$B:$P,L$8,0)</f>
        <v xml:space="preserve">  </v>
      </c>
      <c r="M20" s="100" t="str">
        <f>VLOOKUP($B20,[1]XinMoi!$B:$Z,M$8,0)</f>
        <v xml:space="preserve">  </v>
      </c>
      <c r="N20" s="89">
        <f t="shared" si="1"/>
        <v>1</v>
      </c>
      <c r="O20" s="89">
        <f t="shared" si="2"/>
        <v>1</v>
      </c>
    </row>
    <row r="21" spans="1:15" ht="20.100000000000001" customHeight="1">
      <c r="A21" s="88" t="str">
        <f>[1]XinMoi!A22</f>
        <v>12.78.81.007</v>
      </c>
      <c r="B21" s="98">
        <v>13</v>
      </c>
      <c r="C21" s="99" t="str">
        <f>VLOOKUP($B21,[1]XinMoi!$B:$J,C$8,0)</f>
        <v xml:space="preserve">Long đền vuông 50x50x3/Zn D18 </v>
      </c>
      <c r="D21" s="100" t="str">
        <f>VLOOKUP($B21,[1]XinMoi!$B:$P,D$8,0)</f>
        <v>cái</v>
      </c>
      <c r="E21" s="101">
        <f>VLOOKUP($B21,[1]XinMoi!$B:$P,E$8,0)</f>
        <v>85</v>
      </c>
      <c r="F21" s="102">
        <f>VLOOKUP($B21,[1]XinMoi!$B:$P,F$8,0)</f>
        <v>42915</v>
      </c>
      <c r="G21" s="100">
        <f>VLOOKUP($B21,[1]XinMoi!$B:$P,G$8,0)</f>
        <v>12</v>
      </c>
      <c r="H21" s="100">
        <f>VLOOKUP($B21,[1]XinMoi!$B:$P,H$8,0)</f>
        <v>12</v>
      </c>
      <c r="I21" s="100">
        <f>VLOOKUP($B21,[1]XinMoi!$B:$P,I$8,0)</f>
        <v>12</v>
      </c>
      <c r="J21" s="100">
        <f>VLOOKUP($B21,[1]XinMoi!$B:$P,J$8,0)</f>
        <v>0</v>
      </c>
      <c r="K21" s="100" t="str">
        <f>VLOOKUP($B21,[1]XinMoi!$B:$P,K$8,0)</f>
        <v xml:space="preserve">  </v>
      </c>
      <c r="L21" s="100" t="str">
        <f>VLOOKUP($B21,[1]XinMoi!$B:$P,L$8,0)</f>
        <v xml:space="preserve">  </v>
      </c>
      <c r="M21" s="100" t="str">
        <f>VLOOKUP($B21,[1]XinMoi!$B:$Z,M$8,0)</f>
        <v xml:space="preserve">  </v>
      </c>
      <c r="N21" s="89">
        <f t="shared" si="1"/>
        <v>1</v>
      </c>
      <c r="O21" s="89">
        <f t="shared" si="2"/>
        <v>1</v>
      </c>
    </row>
    <row r="22" spans="1:15" ht="20.100000000000001" customHeight="1">
      <c r="A22" s="88" t="str">
        <f>[1]XinMoi!A24</f>
        <v>23.06.50.060</v>
      </c>
      <c r="B22" s="98">
        <v>14</v>
      </c>
      <c r="C22" s="99" t="str">
        <f>VLOOKUP($B22,[1]XinMoi!$B:$J,C$8,0)</f>
        <v>Ống PVC DK27</v>
      </c>
      <c r="D22" s="100" t="str">
        <f>VLOOKUP($B22,[1]XinMoi!$B:$P,D$8,0)</f>
        <v>mét</v>
      </c>
      <c r="E22" s="101">
        <f>VLOOKUP($B22,[1]XinMoi!$B:$P,E$8,0)</f>
        <v>85</v>
      </c>
      <c r="F22" s="102">
        <f>VLOOKUP($B22,[1]XinMoi!$B:$P,F$8,0)</f>
        <v>42915</v>
      </c>
      <c r="G22" s="100">
        <f>VLOOKUP($B22,[1]XinMoi!$B:$P,G$8,0)</f>
        <v>7</v>
      </c>
      <c r="H22" s="100">
        <f>VLOOKUP($B22,[1]XinMoi!$B:$P,H$8,0)</f>
        <v>7</v>
      </c>
      <c r="I22" s="100">
        <f>VLOOKUP($B22,[1]XinMoi!$B:$P,I$8,0)</f>
        <v>7</v>
      </c>
      <c r="J22" s="100">
        <f>VLOOKUP($B22,[1]XinMoi!$B:$P,J$8,0)</f>
        <v>0</v>
      </c>
      <c r="K22" s="100" t="str">
        <f>VLOOKUP($B22,[1]XinMoi!$B:$P,K$8,0)</f>
        <v xml:space="preserve">  </v>
      </c>
      <c r="L22" s="100" t="str">
        <f>VLOOKUP($B22,[1]XinMoi!$B:$P,L$8,0)</f>
        <v xml:space="preserve">  </v>
      </c>
      <c r="M22" s="100" t="str">
        <f>VLOOKUP($B22,[1]XinMoi!$B:$Z,M$8,0)</f>
        <v xml:space="preserve">  </v>
      </c>
      <c r="N22" s="89">
        <f t="shared" si="1"/>
        <v>1</v>
      </c>
      <c r="O22" s="89">
        <f t="shared" si="2"/>
        <v>1</v>
      </c>
    </row>
    <row r="23" spans="1:15" ht="20.100000000000001" customHeight="1">
      <c r="A23" s="88" t="str">
        <f>[1]XinMoi!A25</f>
        <v>14.90.80.708</v>
      </c>
      <c r="B23" s="98">
        <v>15</v>
      </c>
      <c r="C23" s="99" t="str">
        <f>VLOOKUP($B23,[1]XinMoi!$B:$J,C$8,0)</f>
        <v>Ống PVC DK60</v>
      </c>
      <c r="D23" s="100" t="str">
        <f>VLOOKUP($B23,[1]XinMoi!$B:$P,D$8,0)</f>
        <v>mét</v>
      </c>
      <c r="E23" s="101">
        <f>VLOOKUP($B23,[1]XinMoi!$B:$P,E$8,0)</f>
        <v>85</v>
      </c>
      <c r="F23" s="102">
        <f>VLOOKUP($B23,[1]XinMoi!$B:$P,F$8,0)</f>
        <v>42915</v>
      </c>
      <c r="G23" s="100">
        <f>VLOOKUP($B23,[1]XinMoi!$B:$P,G$8,0)</f>
        <v>7</v>
      </c>
      <c r="H23" s="100">
        <f>VLOOKUP($B23,[1]XinMoi!$B:$P,H$8,0)</f>
        <v>7</v>
      </c>
      <c r="I23" s="100">
        <f>VLOOKUP($B23,[1]XinMoi!$B:$P,I$8,0)</f>
        <v>7</v>
      </c>
      <c r="J23" s="100">
        <f>VLOOKUP($B23,[1]XinMoi!$B:$P,J$8,0)</f>
        <v>0</v>
      </c>
      <c r="K23" s="100" t="str">
        <f>VLOOKUP($B23,[1]XinMoi!$B:$P,K$8,0)</f>
        <v xml:space="preserve">  </v>
      </c>
      <c r="L23" s="100" t="str">
        <f>VLOOKUP($B23,[1]XinMoi!$B:$P,L$8,0)</f>
        <v xml:space="preserve">  </v>
      </c>
      <c r="M23" s="100" t="str">
        <f>VLOOKUP($B23,[1]XinMoi!$B:$Z,M$8,0)</f>
        <v xml:space="preserve">  </v>
      </c>
      <c r="N23" s="89">
        <f t="shared" si="1"/>
        <v>1</v>
      </c>
      <c r="O23" s="89">
        <f t="shared" si="2"/>
        <v>1</v>
      </c>
    </row>
    <row r="24" spans="1:15" ht="20.100000000000001" customHeight="1">
      <c r="A24" s="88" t="str">
        <f>[1]XinMoi!A26</f>
        <v>13.70.76.007</v>
      </c>
      <c r="B24" s="98">
        <v>16</v>
      </c>
      <c r="C24" s="99" t="str">
        <f>VLOOKUP($B24,[1]XinMoi!$B:$J,C$8,0)</f>
        <v>Co PVC 900 –DK27</v>
      </c>
      <c r="D24" s="100" t="str">
        <f>VLOOKUP($B24,[1]XinMoi!$B:$P,D$8,0)</f>
        <v>cái</v>
      </c>
      <c r="E24" s="101">
        <f>VLOOKUP($B24,[1]XinMoi!$B:$P,E$8,0)</f>
        <v>85</v>
      </c>
      <c r="F24" s="102">
        <f>VLOOKUP($B24,[1]XinMoi!$B:$P,F$8,0)</f>
        <v>42915</v>
      </c>
      <c r="G24" s="100">
        <f>VLOOKUP($B24,[1]XinMoi!$B:$P,G$8,0)</f>
        <v>2</v>
      </c>
      <c r="H24" s="100">
        <f>VLOOKUP($B24,[1]XinMoi!$B:$P,H$8,0)</f>
        <v>2</v>
      </c>
      <c r="I24" s="100">
        <f>VLOOKUP($B24,[1]XinMoi!$B:$P,I$8,0)</f>
        <v>2</v>
      </c>
      <c r="J24" s="100">
        <f>VLOOKUP($B24,[1]XinMoi!$B:$P,J$8,0)</f>
        <v>0</v>
      </c>
      <c r="K24" s="100" t="str">
        <f>VLOOKUP($B24,[1]XinMoi!$B:$P,K$8,0)</f>
        <v xml:space="preserve">  </v>
      </c>
      <c r="L24" s="100" t="str">
        <f>VLOOKUP($B24,[1]XinMoi!$B:$P,L$8,0)</f>
        <v xml:space="preserve">  </v>
      </c>
      <c r="M24" s="100" t="str">
        <f>VLOOKUP($B24,[1]XinMoi!$B:$Z,M$8,0)</f>
        <v xml:space="preserve">  </v>
      </c>
      <c r="N24" s="89">
        <f t="shared" si="1"/>
        <v>1</v>
      </c>
      <c r="O24" s="89">
        <f t="shared" si="2"/>
        <v>1</v>
      </c>
    </row>
    <row r="25" spans="1:15" ht="20.100000000000001" customHeight="1">
      <c r="A25" s="88" t="str">
        <f>[1]XinMoi!A27</f>
        <v>0</v>
      </c>
      <c r="B25" s="98">
        <v>17</v>
      </c>
      <c r="C25" s="99" t="str">
        <f>VLOOKUP($B25,[1]XinMoi!$B:$J,C$8,0)</f>
        <v>Co PVC 900 –DK60</v>
      </c>
      <c r="D25" s="100" t="str">
        <f>VLOOKUP($B25,[1]XinMoi!$B:$P,D$8,0)</f>
        <v>cái</v>
      </c>
      <c r="E25" s="101">
        <f>VLOOKUP($B25,[1]XinMoi!$B:$P,E$8,0)</f>
        <v>85</v>
      </c>
      <c r="F25" s="102">
        <f>VLOOKUP($B25,[1]XinMoi!$B:$P,F$8,0)</f>
        <v>42915</v>
      </c>
      <c r="G25" s="100">
        <f>VLOOKUP($B25,[1]XinMoi!$B:$P,G$8,0)</f>
        <v>2</v>
      </c>
      <c r="H25" s="100">
        <f>VLOOKUP($B25,[1]XinMoi!$B:$P,H$8,0)</f>
        <v>2</v>
      </c>
      <c r="I25" s="100">
        <f>VLOOKUP($B25,[1]XinMoi!$B:$P,I$8,0)</f>
        <v>2</v>
      </c>
      <c r="J25" s="100">
        <f>VLOOKUP($B25,[1]XinMoi!$B:$P,J$8,0)</f>
        <v>0</v>
      </c>
      <c r="K25" s="100" t="str">
        <f>VLOOKUP($B25,[1]XinMoi!$B:$P,K$8,0)</f>
        <v xml:space="preserve">  </v>
      </c>
      <c r="L25" s="100" t="str">
        <f>VLOOKUP($B25,[1]XinMoi!$B:$P,L$8,0)</f>
        <v xml:space="preserve">  </v>
      </c>
      <c r="M25" s="100" t="str">
        <f>VLOOKUP($B25,[1]XinMoi!$B:$Z,M$8,0)</f>
        <v xml:space="preserve">  </v>
      </c>
      <c r="N25" s="89">
        <f t="shared" si="1"/>
        <v>1</v>
      </c>
      <c r="O25" s="89">
        <f t="shared" si="2"/>
        <v>1</v>
      </c>
    </row>
    <row r="26" spans="1:15" ht="20.100000000000001" customHeight="1">
      <c r="A26" s="88" t="str">
        <f>[1]XinMoi!A28</f>
        <v>0</v>
      </c>
      <c r="B26" s="98">
        <v>18</v>
      </c>
      <c r="C26" s="99" t="str">
        <f>VLOOKUP($B26,[1]XinMoi!$B:$J,C$8,0)</f>
        <v>Cổ dê kẹp ống PVC DK 27</v>
      </c>
      <c r="D26" s="100" t="str">
        <f>VLOOKUP($B26,[1]XinMoi!$B:$P,D$8,0)</f>
        <v>cái</v>
      </c>
      <c r="E26" s="101" t="str">
        <f>VLOOKUP($B26,[1]XinMoi!$B:$P,E$8,0)</f>
        <v/>
      </c>
      <c r="F26" s="102" t="str">
        <f>VLOOKUP($B26,[1]XinMoi!$B:$P,F$8,0)</f>
        <v/>
      </c>
      <c r="G26" s="100">
        <f>VLOOKUP($B26,[1]XinMoi!$B:$P,G$8,0)</f>
        <v>3</v>
      </c>
      <c r="H26" s="100">
        <f>VLOOKUP($B26,[1]XinMoi!$B:$P,H$8,0)</f>
        <v>0</v>
      </c>
      <c r="I26" s="100">
        <f>VLOOKUP($B26,[1]XinMoi!$B:$P,I$8,0)</f>
        <v>0</v>
      </c>
      <c r="J26" s="100">
        <f>VLOOKUP($B26,[1]XinMoi!$B:$P,J$8,0)</f>
        <v>0</v>
      </c>
      <c r="K26" s="100" t="str">
        <f>VLOOKUP($B26,[1]XinMoi!$B:$P,K$8,0)</f>
        <v xml:space="preserve">  </v>
      </c>
      <c r="L26" s="100" t="str">
        <f>VLOOKUP($B26,[1]XinMoi!$B:$P,L$8,0)</f>
        <v xml:space="preserve">  </v>
      </c>
      <c r="M26" s="100" t="str">
        <f>VLOOKUP($B26,[1]XinMoi!$B:$Z,M$8,0)</f>
        <v xml:space="preserve">  </v>
      </c>
      <c r="N26" s="89">
        <f t="shared" si="1"/>
        <v>1</v>
      </c>
      <c r="O26" s="89">
        <f t="shared" si="2"/>
        <v>1</v>
      </c>
    </row>
    <row r="27" spans="1:15" ht="20.100000000000001" customHeight="1">
      <c r="A27" s="88" t="str">
        <f>[1]XinMoi!A31</f>
        <v>0</v>
      </c>
      <c r="B27" s="98">
        <v>19</v>
      </c>
      <c r="C27" s="99" t="str">
        <f>VLOOKUP($B27,[1]XinMoi!$B:$J,C$8,0)</f>
        <v>Khoá đai cho đai Inox 20x0,4</v>
      </c>
      <c r="D27" s="100" t="str">
        <f>VLOOKUP($B27,[1]XinMoi!$B:$P,D$8,0)</f>
        <v>cái</v>
      </c>
      <c r="E27" s="101">
        <f>VLOOKUP($B27,[1]XinMoi!$B:$P,E$8,0)</f>
        <v>85</v>
      </c>
      <c r="F27" s="102">
        <f>VLOOKUP($B27,[1]XinMoi!$B:$P,F$8,0)</f>
        <v>42915</v>
      </c>
      <c r="G27" s="100">
        <f>VLOOKUP($B27,[1]XinMoi!$B:$P,G$8,0)</f>
        <v>0</v>
      </c>
      <c r="H27" s="100">
        <f>VLOOKUP($B27,[1]XinMoi!$B:$P,H$8,0)</f>
        <v>3</v>
      </c>
      <c r="I27" s="100">
        <f>VLOOKUP($B27,[1]XinMoi!$B:$P,I$8,0)</f>
        <v>3</v>
      </c>
      <c r="J27" s="100">
        <f>VLOOKUP($B27,[1]XinMoi!$B:$P,J$8,0)</f>
        <v>0</v>
      </c>
      <c r="K27" s="100" t="str">
        <f>VLOOKUP($B27,[1]XinMoi!$B:$P,K$8,0)</f>
        <v xml:space="preserve">  </v>
      </c>
      <c r="L27" s="100" t="str">
        <f>VLOOKUP($B27,[1]XinMoi!$B:$P,L$8,0)</f>
        <v xml:space="preserve">  </v>
      </c>
      <c r="M27" s="100" t="str">
        <f>VLOOKUP($B27,[1]XinMoi!$B:$Z,M$8,0)</f>
        <v xml:space="preserve">  </v>
      </c>
      <c r="N27" s="89">
        <f t="shared" si="1"/>
        <v>1</v>
      </c>
      <c r="O27" s="89">
        <f t="shared" si="2"/>
        <v>1</v>
      </c>
    </row>
    <row r="28" spans="1:15" ht="20.100000000000001" customHeight="1">
      <c r="A28" s="88" t="str">
        <f>[1]XinMoi!A33</f>
        <v>0</v>
      </c>
      <c r="B28" s="98">
        <v>20</v>
      </c>
      <c r="C28" s="99" t="str">
        <f>VLOOKUP($B28,[1]XinMoi!$B:$J,C$8,0)</f>
        <v>Dây rút thép 20x0,4mm</v>
      </c>
      <c r="D28" s="100" t="str">
        <f>VLOOKUP($B28,[1]XinMoi!$B:$P,D$8,0)</f>
        <v>mét</v>
      </c>
      <c r="E28" s="101">
        <f>VLOOKUP($B28,[1]XinMoi!$B:$P,E$8,0)</f>
        <v>85</v>
      </c>
      <c r="F28" s="102">
        <f>VLOOKUP($B28,[1]XinMoi!$B:$P,F$8,0)</f>
        <v>42915</v>
      </c>
      <c r="G28" s="100">
        <f>VLOOKUP($B28,[1]XinMoi!$B:$P,G$8,0)</f>
        <v>0</v>
      </c>
      <c r="H28" s="100">
        <f>VLOOKUP($B28,[1]XinMoi!$B:$P,H$8,0)</f>
        <v>3.6</v>
      </c>
      <c r="I28" s="100">
        <f>VLOOKUP($B28,[1]XinMoi!$B:$P,I$8,0)</f>
        <v>3.6</v>
      </c>
      <c r="J28" s="100">
        <f>VLOOKUP($B28,[1]XinMoi!$B:$P,J$8,0)</f>
        <v>0</v>
      </c>
      <c r="K28" s="100" t="str">
        <f>VLOOKUP($B28,[1]XinMoi!$B:$P,K$8,0)</f>
        <v xml:space="preserve">  </v>
      </c>
      <c r="L28" s="100" t="str">
        <f>VLOOKUP($B28,[1]XinMoi!$B:$P,L$8,0)</f>
        <v xml:space="preserve">  </v>
      </c>
      <c r="M28" s="100" t="str">
        <f>VLOOKUP($B28,[1]XinMoi!$B:$Z,M$8,0)</f>
        <v xml:space="preserve">  </v>
      </c>
      <c r="N28" s="89">
        <f t="shared" si="1"/>
        <v>1</v>
      </c>
      <c r="O28" s="89">
        <f t="shared" si="2"/>
        <v>1</v>
      </c>
    </row>
    <row r="29" spans="1:15" ht="20.100000000000001" customHeight="1">
      <c r="A29" s="88" t="str">
        <f>[1]XinMoi!A35</f>
        <v>0</v>
      </c>
      <c r="B29" s="98">
        <v>21</v>
      </c>
      <c r="C29" s="99" t="str">
        <f>VLOOKUP($B29,[1]XinMoi!$B:$J,C$8,0)</f>
        <v>Cổ dê kẹp ống PVC DK 60</v>
      </c>
      <c r="D29" s="100" t="str">
        <f>VLOOKUP($B29,[1]XinMoi!$B:$P,D$8,0)</f>
        <v>cái</v>
      </c>
      <c r="E29" s="101">
        <f>VLOOKUP($B29,[1]XinMoi!$B:$P,E$8,0)</f>
        <v>85</v>
      </c>
      <c r="F29" s="102">
        <f>VLOOKUP($B29,[1]XinMoi!$B:$P,F$8,0)</f>
        <v>42915</v>
      </c>
      <c r="G29" s="100">
        <f>VLOOKUP($B29,[1]XinMoi!$B:$P,G$8,0)</f>
        <v>6</v>
      </c>
      <c r="H29" s="100">
        <f>VLOOKUP($B29,[1]XinMoi!$B:$P,H$8,0)</f>
        <v>3</v>
      </c>
      <c r="I29" s="100">
        <f>VLOOKUP($B29,[1]XinMoi!$B:$P,I$8,0)</f>
        <v>3</v>
      </c>
      <c r="J29" s="100">
        <f>VLOOKUP($B29,[1]XinMoi!$B:$P,J$8,0)</f>
        <v>0</v>
      </c>
      <c r="K29" s="100" t="str">
        <f>VLOOKUP($B29,[1]XinMoi!$B:$P,K$8,0)</f>
        <v xml:space="preserve">  </v>
      </c>
      <c r="L29" s="100" t="str">
        <f>VLOOKUP($B29,[1]XinMoi!$B:$P,L$8,0)</f>
        <v xml:space="preserve">  </v>
      </c>
      <c r="M29" s="100" t="str">
        <f>VLOOKUP($B29,[1]XinMoi!$B:$Z,M$8,0)</f>
        <v xml:space="preserve">  </v>
      </c>
      <c r="N29" s="89">
        <f t="shared" si="1"/>
        <v>1</v>
      </c>
      <c r="O29" s="89">
        <f t="shared" si="2"/>
        <v>1</v>
      </c>
    </row>
    <row r="30" spans="1:15" ht="20.100000000000001" customHeight="1">
      <c r="A30" s="88" t="str">
        <f>[1]XinMoi!A36</f>
        <v>0</v>
      </c>
      <c r="B30" s="98">
        <v>22</v>
      </c>
      <c r="C30" s="99" t="str">
        <f>VLOOKUP($B30,[1]XinMoi!$B:$J,C$8,0)</f>
        <v>Cổ dê kẹp ống PVC DK 60</v>
      </c>
      <c r="D30" s="100" t="str">
        <f>VLOOKUP($B30,[1]XinMoi!$B:$P,D$8,0)</f>
        <v>cái</v>
      </c>
      <c r="E30" s="101">
        <f>VLOOKUP($B30,[1]XinMoi!$B:$P,E$8,0)</f>
        <v>117</v>
      </c>
      <c r="F30" s="102">
        <f>VLOOKUP($B30,[1]XinMoi!$B:$P,F$8,0)</f>
        <v>42949</v>
      </c>
      <c r="G30" s="100">
        <f>VLOOKUP($B30,[1]XinMoi!$B:$P,G$8,0)</f>
        <v>0</v>
      </c>
      <c r="H30" s="100">
        <f>VLOOKUP($B30,[1]XinMoi!$B:$P,H$8,0)</f>
        <v>3</v>
      </c>
      <c r="I30" s="100">
        <f>VLOOKUP($B30,[1]XinMoi!$B:$P,I$8,0)</f>
        <v>3</v>
      </c>
      <c r="J30" s="100">
        <f>VLOOKUP($B30,[1]XinMoi!$B:$P,J$8,0)</f>
        <v>0</v>
      </c>
      <c r="K30" s="100" t="str">
        <f>VLOOKUP($B30,[1]XinMoi!$B:$P,K$8,0)</f>
        <v xml:space="preserve">  </v>
      </c>
      <c r="L30" s="100" t="str">
        <f>VLOOKUP($B30,[1]XinMoi!$B:$P,L$8,0)</f>
        <v xml:space="preserve">  </v>
      </c>
      <c r="M30" s="100" t="str">
        <f>VLOOKUP($B30,[1]XinMoi!$B:$Z,M$8,0)</f>
        <v xml:space="preserve">  </v>
      </c>
      <c r="N30" s="89">
        <f t="shared" si="1"/>
        <v>1</v>
      </c>
      <c r="O30" s="89">
        <f t="shared" si="2"/>
        <v>1</v>
      </c>
    </row>
    <row r="31" spans="1:15" ht="20.100000000000001" customHeight="1">
      <c r="A31" s="88" t="str">
        <f>[1]XinMoi!A37</f>
        <v>0</v>
      </c>
      <c r="B31" s="98">
        <v>23</v>
      </c>
      <c r="C31" s="99" t="str">
        <f>VLOOKUP($B31,[1]XinMoi!$B:$J,C$8,0)</f>
        <v>Ống chụp cách điện 1,2m cỡ dây AC185</v>
      </c>
      <c r="D31" s="100" t="str">
        <f>VLOOKUP($B31,[1]XinMoi!$B:$P,D$8,0)</f>
        <v>ống</v>
      </c>
      <c r="E31" s="101">
        <f>VLOOKUP($B31,[1]XinMoi!$B:$P,E$8,0)</f>
        <v>85</v>
      </c>
      <c r="F31" s="102">
        <f>VLOOKUP($B31,[1]XinMoi!$B:$P,F$8,0)</f>
        <v>42915</v>
      </c>
      <c r="G31" s="100">
        <f>VLOOKUP($B31,[1]XinMoi!$B:$P,G$8,0)</f>
        <v>1</v>
      </c>
      <c r="H31" s="100">
        <f>VLOOKUP($B31,[1]XinMoi!$B:$P,H$8,0)</f>
        <v>1</v>
      </c>
      <c r="I31" s="100">
        <f>VLOOKUP($B31,[1]XinMoi!$B:$P,I$8,0)</f>
        <v>1</v>
      </c>
      <c r="J31" s="100">
        <f>VLOOKUP($B31,[1]XinMoi!$B:$P,J$8,0)</f>
        <v>0</v>
      </c>
      <c r="K31" s="100" t="str">
        <f>VLOOKUP($B31,[1]XinMoi!$B:$P,K$8,0)</f>
        <v xml:space="preserve">  </v>
      </c>
      <c r="L31" s="100" t="str">
        <f>VLOOKUP($B31,[1]XinMoi!$B:$P,L$8,0)</f>
        <v xml:space="preserve">  </v>
      </c>
      <c r="M31" s="100" t="str">
        <f>VLOOKUP($B31,[1]XinMoi!$B:$Z,M$8,0)</f>
        <v xml:space="preserve">  </v>
      </c>
      <c r="N31" s="89">
        <f t="shared" si="1"/>
        <v>1</v>
      </c>
      <c r="O31" s="89">
        <f t="shared" si="2"/>
        <v>1</v>
      </c>
    </row>
    <row r="32" spans="1:15" ht="20.100000000000001" customHeight="1">
      <c r="A32" s="88" t="str">
        <f>[1]XinMoi!A38</f>
        <v>0</v>
      </c>
      <c r="B32" s="98">
        <v>24</v>
      </c>
      <c r="C32" s="99" t="str">
        <f>VLOOKUP($B32,[1]XinMoi!$B:$J,C$8,0)</f>
        <v>Băng keo hạ thế</v>
      </c>
      <c r="D32" s="100" t="str">
        <f>VLOOKUP($B32,[1]XinMoi!$B:$P,D$8,0)</f>
        <v>cuộn</v>
      </c>
      <c r="E32" s="101">
        <f>VLOOKUP($B32,[1]XinMoi!$B:$P,E$8,0)</f>
        <v>85</v>
      </c>
      <c r="F32" s="102">
        <f>VLOOKUP($B32,[1]XinMoi!$B:$P,F$8,0)</f>
        <v>42915</v>
      </c>
      <c r="G32" s="100">
        <f>VLOOKUP($B32,[1]XinMoi!$B:$P,G$8,0)</f>
        <v>3</v>
      </c>
      <c r="H32" s="100">
        <f>VLOOKUP($B32,[1]XinMoi!$B:$P,H$8,0)</f>
        <v>3</v>
      </c>
      <c r="I32" s="100">
        <f>VLOOKUP($B32,[1]XinMoi!$B:$P,I$8,0)</f>
        <v>3</v>
      </c>
      <c r="J32" s="100">
        <f>VLOOKUP($B32,[1]XinMoi!$B:$P,J$8,0)</f>
        <v>0</v>
      </c>
      <c r="K32" s="100" t="str">
        <f>VLOOKUP($B32,[1]XinMoi!$B:$P,K$8,0)</f>
        <v xml:space="preserve">  </v>
      </c>
      <c r="L32" s="100" t="str">
        <f>VLOOKUP($B32,[1]XinMoi!$B:$P,L$8,0)</f>
        <v xml:space="preserve">  </v>
      </c>
      <c r="M32" s="100" t="str">
        <f>VLOOKUP($B32,[1]XinMoi!$B:$Z,M$8,0)</f>
        <v xml:space="preserve">  </v>
      </c>
      <c r="N32" s="89">
        <f t="shared" si="1"/>
        <v>1</v>
      </c>
      <c r="O32" s="89">
        <f t="shared" si="2"/>
        <v>1</v>
      </c>
    </row>
    <row r="33" spans="1:15" ht="20.100000000000001" hidden="1" customHeight="1">
      <c r="A33" s="88" t="str">
        <f>[1]XinMoi!A39</f>
        <v>0</v>
      </c>
      <c r="B33" s="98">
        <v>25</v>
      </c>
      <c r="C33" s="99">
        <f>VLOOKUP($B33,[1]XinMoi!$B:$J,C$8,0)</f>
        <v>0</v>
      </c>
      <c r="D33" s="100">
        <f>VLOOKUP($B33,[1]XinMoi!$B:$P,D$8,0)</f>
        <v>0</v>
      </c>
      <c r="E33" s="101">
        <f>VLOOKUP($B33,[1]XinMoi!$B:$P,E$8,0)</f>
        <v>0</v>
      </c>
      <c r="F33" s="102">
        <f>VLOOKUP($B33,[1]XinMoi!$B:$P,F$8,0)</f>
        <v>0</v>
      </c>
      <c r="G33" s="100">
        <f>VLOOKUP($B33,[1]XinMoi!$B:$P,G$8,0)</f>
        <v>0</v>
      </c>
      <c r="H33" s="100">
        <f>VLOOKUP($B33,[1]XinMoi!$B:$P,H$8,0)</f>
        <v>0</v>
      </c>
      <c r="I33" s="100">
        <f>VLOOKUP($B33,[1]XinMoi!$B:$P,I$8,0)</f>
        <v>0</v>
      </c>
      <c r="J33" s="100">
        <f>VLOOKUP($B33,[1]XinMoi!$B:$P,J$8,0)</f>
        <v>0</v>
      </c>
      <c r="K33" s="100" t="str">
        <f>VLOOKUP($B33,[1]XinMoi!$B:$P,K$8,0)</f>
        <v xml:space="preserve">  </v>
      </c>
      <c r="L33" s="100" t="str">
        <f>VLOOKUP($B33,[1]XinMoi!$B:$P,L$8,0)</f>
        <v xml:space="preserve">  </v>
      </c>
      <c r="M33" s="100" t="str">
        <f>VLOOKUP($B33,[1]XinMoi!$B:$Z,M$8,0)</f>
        <v xml:space="preserve">  </v>
      </c>
      <c r="N33" s="89">
        <f t="shared" si="1"/>
        <v>0</v>
      </c>
      <c r="O33" s="89">
        <f t="shared" si="2"/>
        <v>1</v>
      </c>
    </row>
    <row r="34" spans="1:15" ht="20.100000000000001" hidden="1" customHeight="1">
      <c r="A34" s="88" t="str">
        <f>[1]XinMoi!A40</f>
        <v>0</v>
      </c>
      <c r="B34" s="98">
        <v>26</v>
      </c>
      <c r="C34" s="99">
        <f>VLOOKUP($B34,[1]XinMoi!$B:$J,C$8,0)</f>
        <v>0</v>
      </c>
      <c r="D34" s="100">
        <f>VLOOKUP($B34,[1]XinMoi!$B:$P,D$8,0)</f>
        <v>0</v>
      </c>
      <c r="E34" s="101">
        <f>VLOOKUP($B34,[1]XinMoi!$B:$P,E$8,0)</f>
        <v>0</v>
      </c>
      <c r="F34" s="102">
        <f>VLOOKUP($B34,[1]XinMoi!$B:$P,F$8,0)</f>
        <v>0</v>
      </c>
      <c r="G34" s="100">
        <f>VLOOKUP($B34,[1]XinMoi!$B:$P,G$8,0)</f>
        <v>0</v>
      </c>
      <c r="H34" s="100">
        <f>VLOOKUP($B34,[1]XinMoi!$B:$P,H$8,0)</f>
        <v>0</v>
      </c>
      <c r="I34" s="100">
        <f>VLOOKUP($B34,[1]XinMoi!$B:$P,I$8,0)</f>
        <v>0</v>
      </c>
      <c r="J34" s="100">
        <f>VLOOKUP($B34,[1]XinMoi!$B:$P,J$8,0)</f>
        <v>0</v>
      </c>
      <c r="K34" s="100" t="str">
        <f>VLOOKUP($B34,[1]XinMoi!$B:$P,K$8,0)</f>
        <v xml:space="preserve">  </v>
      </c>
      <c r="L34" s="100" t="str">
        <f>VLOOKUP($B34,[1]XinMoi!$B:$P,L$8,0)</f>
        <v xml:space="preserve">  </v>
      </c>
      <c r="M34" s="100" t="str">
        <f>VLOOKUP($B34,[1]XinMoi!$B:$Z,M$8,0)</f>
        <v xml:space="preserve">  </v>
      </c>
      <c r="N34" s="89">
        <f t="shared" si="1"/>
        <v>0</v>
      </c>
      <c r="O34" s="89">
        <f t="shared" si="2"/>
        <v>1</v>
      </c>
    </row>
    <row r="35" spans="1:15" ht="20.100000000000001" hidden="1" customHeight="1">
      <c r="A35" s="88" t="str">
        <f>[1]XinMoi!A41</f>
        <v>0</v>
      </c>
      <c r="B35" s="98">
        <v>27</v>
      </c>
      <c r="C35" s="99">
        <f>VLOOKUP($B35,[1]XinMoi!$B:$J,C$8,0)</f>
        <v>0</v>
      </c>
      <c r="D35" s="100">
        <f>VLOOKUP($B35,[1]XinMoi!$B:$P,D$8,0)</f>
        <v>0</v>
      </c>
      <c r="E35" s="101">
        <f>VLOOKUP($B35,[1]XinMoi!$B:$P,E$8,0)</f>
        <v>0</v>
      </c>
      <c r="F35" s="102">
        <f>VLOOKUP($B35,[1]XinMoi!$B:$P,F$8,0)</f>
        <v>0</v>
      </c>
      <c r="G35" s="100">
        <f>VLOOKUP($B35,[1]XinMoi!$B:$P,G$8,0)</f>
        <v>0</v>
      </c>
      <c r="H35" s="100">
        <f>VLOOKUP($B35,[1]XinMoi!$B:$P,H$8,0)</f>
        <v>0</v>
      </c>
      <c r="I35" s="100">
        <f>VLOOKUP($B35,[1]XinMoi!$B:$P,I$8,0)</f>
        <v>0</v>
      </c>
      <c r="J35" s="100">
        <f>VLOOKUP($B35,[1]XinMoi!$B:$P,J$8,0)</f>
        <v>0</v>
      </c>
      <c r="K35" s="100" t="str">
        <f>VLOOKUP($B35,[1]XinMoi!$B:$P,K$8,0)</f>
        <v xml:space="preserve">  </v>
      </c>
      <c r="L35" s="100" t="str">
        <f>VLOOKUP($B35,[1]XinMoi!$B:$P,L$8,0)</f>
        <v xml:space="preserve">  </v>
      </c>
      <c r="M35" s="100" t="str">
        <f>VLOOKUP($B35,[1]XinMoi!$B:$Z,M$8,0)</f>
        <v xml:space="preserve">  </v>
      </c>
      <c r="N35" s="89">
        <f t="shared" si="1"/>
        <v>0</v>
      </c>
      <c r="O35" s="89">
        <f t="shared" si="2"/>
        <v>1</v>
      </c>
    </row>
    <row r="36" spans="1:15" ht="20.100000000000001" hidden="1" customHeight="1">
      <c r="A36" s="88" t="str">
        <f>[1]XinMoi!A43</f>
        <v>0</v>
      </c>
      <c r="B36" s="98">
        <v>28</v>
      </c>
      <c r="C36" s="99">
        <f>VLOOKUP($B36,[1]XinMoi!$B:$J,C$8,0)</f>
        <v>0</v>
      </c>
      <c r="D36" s="100">
        <f>VLOOKUP($B36,[1]XinMoi!$B:$P,D$8,0)</f>
        <v>0</v>
      </c>
      <c r="E36" s="101">
        <f>VLOOKUP($B36,[1]XinMoi!$B:$P,E$8,0)</f>
        <v>0</v>
      </c>
      <c r="F36" s="102">
        <f>VLOOKUP($B36,[1]XinMoi!$B:$P,F$8,0)</f>
        <v>0</v>
      </c>
      <c r="G36" s="100">
        <f>VLOOKUP($B36,[1]XinMoi!$B:$P,G$8,0)</f>
        <v>0</v>
      </c>
      <c r="H36" s="100">
        <f>VLOOKUP($B36,[1]XinMoi!$B:$P,H$8,0)</f>
        <v>0</v>
      </c>
      <c r="I36" s="100">
        <f>VLOOKUP($B36,[1]XinMoi!$B:$P,I$8,0)</f>
        <v>0</v>
      </c>
      <c r="J36" s="100">
        <f>VLOOKUP($B36,[1]XinMoi!$B:$P,J$8,0)</f>
        <v>0</v>
      </c>
      <c r="K36" s="100" t="str">
        <f>VLOOKUP($B36,[1]XinMoi!$B:$P,K$8,0)</f>
        <v xml:space="preserve">  </v>
      </c>
      <c r="L36" s="100" t="str">
        <f>VLOOKUP($B36,[1]XinMoi!$B:$P,L$8,0)</f>
        <v xml:space="preserve">  </v>
      </c>
      <c r="M36" s="100" t="str">
        <f>VLOOKUP($B36,[1]XinMoi!$B:$Z,M$8,0)</f>
        <v xml:space="preserve">  </v>
      </c>
      <c r="N36" s="89">
        <f t="shared" si="1"/>
        <v>0</v>
      </c>
      <c r="O36" s="89">
        <f t="shared" si="2"/>
        <v>1</v>
      </c>
    </row>
    <row r="37" spans="1:15" ht="20.100000000000001" hidden="1" customHeight="1">
      <c r="A37" s="88" t="str">
        <f>[1]XinMoi!A45</f>
        <v>0</v>
      </c>
      <c r="B37" s="98">
        <v>29</v>
      </c>
      <c r="C37" s="99">
        <f>VLOOKUP($B37,[1]XinMoi!$B:$J,C$8,0)</f>
        <v>0</v>
      </c>
      <c r="D37" s="100">
        <f>VLOOKUP($B37,[1]XinMoi!$B:$P,D$8,0)</f>
        <v>0</v>
      </c>
      <c r="E37" s="101">
        <f>VLOOKUP($B37,[1]XinMoi!$B:$P,E$8,0)</f>
        <v>0</v>
      </c>
      <c r="F37" s="102">
        <f>VLOOKUP($B37,[1]XinMoi!$B:$P,F$8,0)</f>
        <v>0</v>
      </c>
      <c r="G37" s="100">
        <f>VLOOKUP($B37,[1]XinMoi!$B:$P,G$8,0)</f>
        <v>0</v>
      </c>
      <c r="H37" s="100">
        <f>VLOOKUP($B37,[1]XinMoi!$B:$P,H$8,0)</f>
        <v>0</v>
      </c>
      <c r="I37" s="100">
        <f>VLOOKUP($B37,[1]XinMoi!$B:$P,I$8,0)</f>
        <v>0</v>
      </c>
      <c r="J37" s="100">
        <f>VLOOKUP($B37,[1]XinMoi!$B:$P,J$8,0)</f>
        <v>0</v>
      </c>
      <c r="K37" s="100" t="str">
        <f>VLOOKUP($B37,[1]XinMoi!$B:$P,K$8,0)</f>
        <v xml:space="preserve">  </v>
      </c>
      <c r="L37" s="100" t="str">
        <f>VLOOKUP($B37,[1]XinMoi!$B:$P,L$8,0)</f>
        <v xml:space="preserve">  </v>
      </c>
      <c r="M37" s="100" t="str">
        <f>VLOOKUP($B37,[1]XinMoi!$B:$Z,M$8,0)</f>
        <v xml:space="preserve">  </v>
      </c>
      <c r="N37" s="89">
        <f t="shared" si="1"/>
        <v>0</v>
      </c>
      <c r="O37" s="89">
        <f t="shared" si="2"/>
        <v>1</v>
      </c>
    </row>
    <row r="38" spans="1:15" ht="20.100000000000001" hidden="1" customHeight="1">
      <c r="A38" s="88" t="str">
        <f>[1]XinMoi!A47</f>
        <v>0</v>
      </c>
      <c r="B38" s="98">
        <v>30</v>
      </c>
      <c r="C38" s="99">
        <f>VLOOKUP($B38,[1]XinMoi!$B:$J,C$8,0)</f>
        <v>0</v>
      </c>
      <c r="D38" s="100">
        <f>VLOOKUP($B38,[1]XinMoi!$B:$P,D$8,0)</f>
        <v>0</v>
      </c>
      <c r="E38" s="101">
        <f>VLOOKUP($B38,[1]XinMoi!$B:$P,E$8,0)</f>
        <v>0</v>
      </c>
      <c r="F38" s="102">
        <f>VLOOKUP($B38,[1]XinMoi!$B:$P,F$8,0)</f>
        <v>0</v>
      </c>
      <c r="G38" s="100">
        <f>VLOOKUP($B38,[1]XinMoi!$B:$P,G$8,0)</f>
        <v>0</v>
      </c>
      <c r="H38" s="100">
        <f>VLOOKUP($B38,[1]XinMoi!$B:$P,H$8,0)</f>
        <v>0</v>
      </c>
      <c r="I38" s="100">
        <f>VLOOKUP($B38,[1]XinMoi!$B:$P,I$8,0)</f>
        <v>0</v>
      </c>
      <c r="J38" s="100">
        <f>VLOOKUP($B38,[1]XinMoi!$B:$P,J$8,0)</f>
        <v>0</v>
      </c>
      <c r="K38" s="100" t="str">
        <f>VLOOKUP($B38,[1]XinMoi!$B:$P,K$8,0)</f>
        <v xml:space="preserve">  </v>
      </c>
      <c r="L38" s="100" t="str">
        <f>VLOOKUP($B38,[1]XinMoi!$B:$P,L$8,0)</f>
        <v xml:space="preserve">  </v>
      </c>
      <c r="M38" s="100" t="str">
        <f>VLOOKUP($B38,[1]XinMoi!$B:$Z,M$8,0)</f>
        <v xml:space="preserve">  </v>
      </c>
      <c r="N38" s="89">
        <f t="shared" si="1"/>
        <v>0</v>
      </c>
      <c r="O38" s="89">
        <f t="shared" si="2"/>
        <v>1</v>
      </c>
    </row>
    <row r="39" spans="1:15" ht="20.100000000000001" hidden="1" customHeight="1">
      <c r="A39" s="88" t="str">
        <f>[1]XinMoi!A48</f>
        <v>0</v>
      </c>
      <c r="B39" s="98">
        <v>31</v>
      </c>
      <c r="C39" s="99">
        <f>VLOOKUP($B39,[1]XinMoi!$B:$J,C$8,0)</f>
        <v>0</v>
      </c>
      <c r="D39" s="100">
        <f>VLOOKUP($B39,[1]XinMoi!$B:$P,D$8,0)</f>
        <v>0</v>
      </c>
      <c r="E39" s="101">
        <f>VLOOKUP($B39,[1]XinMoi!$B:$P,E$8,0)</f>
        <v>0</v>
      </c>
      <c r="F39" s="102">
        <f>VLOOKUP($B39,[1]XinMoi!$B:$P,F$8,0)</f>
        <v>0</v>
      </c>
      <c r="G39" s="100">
        <f>VLOOKUP($B39,[1]XinMoi!$B:$P,G$8,0)</f>
        <v>0</v>
      </c>
      <c r="H39" s="100">
        <f>VLOOKUP($B39,[1]XinMoi!$B:$P,H$8,0)</f>
        <v>0</v>
      </c>
      <c r="I39" s="100">
        <f>VLOOKUP($B39,[1]XinMoi!$B:$P,I$8,0)</f>
        <v>0</v>
      </c>
      <c r="J39" s="100">
        <f>VLOOKUP($B39,[1]XinMoi!$B:$P,J$8,0)</f>
        <v>0</v>
      </c>
      <c r="K39" s="100" t="str">
        <f>VLOOKUP($B39,[1]XinMoi!$B:$P,K$8,0)</f>
        <v xml:space="preserve">  </v>
      </c>
      <c r="L39" s="100" t="str">
        <f>VLOOKUP($B39,[1]XinMoi!$B:$P,L$8,0)</f>
        <v xml:space="preserve">  </v>
      </c>
      <c r="M39" s="100" t="str">
        <f>VLOOKUP($B39,[1]XinMoi!$B:$Z,M$8,0)</f>
        <v xml:space="preserve">  </v>
      </c>
      <c r="N39" s="89">
        <f t="shared" si="1"/>
        <v>0</v>
      </c>
      <c r="O39" s="89">
        <f t="shared" si="2"/>
        <v>1</v>
      </c>
    </row>
    <row r="40" spans="1:15" ht="20.100000000000001" hidden="1" customHeight="1">
      <c r="A40" s="88" t="str">
        <f>[1]XinMoi!A52</f>
        <v>0</v>
      </c>
      <c r="B40" s="98">
        <v>32</v>
      </c>
      <c r="C40" s="99">
        <f>VLOOKUP($B40,[1]XinMoi!$B:$J,C$8,0)</f>
        <v>0</v>
      </c>
      <c r="D40" s="100">
        <f>VLOOKUP($B40,[1]XinMoi!$B:$P,D$8,0)</f>
        <v>0</v>
      </c>
      <c r="E40" s="101">
        <f>VLOOKUP($B40,[1]XinMoi!$B:$P,E$8,0)</f>
        <v>0</v>
      </c>
      <c r="F40" s="102">
        <f>VLOOKUP($B40,[1]XinMoi!$B:$P,F$8,0)</f>
        <v>0</v>
      </c>
      <c r="G40" s="100">
        <f>VLOOKUP($B40,[1]XinMoi!$B:$P,G$8,0)</f>
        <v>0</v>
      </c>
      <c r="H40" s="100">
        <f>VLOOKUP($B40,[1]XinMoi!$B:$P,H$8,0)</f>
        <v>0</v>
      </c>
      <c r="I40" s="100">
        <f>VLOOKUP($B40,[1]XinMoi!$B:$P,I$8,0)</f>
        <v>0</v>
      </c>
      <c r="J40" s="100">
        <f>VLOOKUP($B40,[1]XinMoi!$B:$P,J$8,0)</f>
        <v>0</v>
      </c>
      <c r="K40" s="100" t="str">
        <f>VLOOKUP($B40,[1]XinMoi!$B:$P,K$8,0)</f>
        <v xml:space="preserve">  </v>
      </c>
      <c r="L40" s="100" t="str">
        <f>VLOOKUP($B40,[1]XinMoi!$B:$P,L$8,0)</f>
        <v xml:space="preserve">  </v>
      </c>
      <c r="M40" s="100" t="str">
        <f>VLOOKUP($B40,[1]XinMoi!$B:$Z,M$8,0)</f>
        <v xml:space="preserve">  </v>
      </c>
      <c r="N40" s="89">
        <f t="shared" si="1"/>
        <v>0</v>
      </c>
      <c r="O40" s="89">
        <f t="shared" si="2"/>
        <v>1</v>
      </c>
    </row>
    <row r="41" spans="1:15" ht="20.100000000000001" hidden="1" customHeight="1">
      <c r="A41" s="88" t="str">
        <f>[1]XinMoi!A53</f>
        <v>0</v>
      </c>
      <c r="B41" s="98">
        <v>33</v>
      </c>
      <c r="C41" s="99">
        <f>VLOOKUP($B41,[1]XinMoi!$B:$J,C$8,0)</f>
        <v>0</v>
      </c>
      <c r="D41" s="100">
        <f>VLOOKUP($B41,[1]XinMoi!$B:$P,D$8,0)</f>
        <v>0</v>
      </c>
      <c r="E41" s="101">
        <f>VLOOKUP($B41,[1]XinMoi!$B:$P,E$8,0)</f>
        <v>0</v>
      </c>
      <c r="F41" s="102">
        <f>VLOOKUP($B41,[1]XinMoi!$B:$P,F$8,0)</f>
        <v>0</v>
      </c>
      <c r="G41" s="100">
        <f>VLOOKUP($B41,[1]XinMoi!$B:$P,G$8,0)</f>
        <v>0</v>
      </c>
      <c r="H41" s="100">
        <f>VLOOKUP($B41,[1]XinMoi!$B:$P,H$8,0)</f>
        <v>0</v>
      </c>
      <c r="I41" s="100">
        <f>VLOOKUP($B41,[1]XinMoi!$B:$P,I$8,0)</f>
        <v>0</v>
      </c>
      <c r="J41" s="100">
        <f>VLOOKUP($B41,[1]XinMoi!$B:$P,J$8,0)</f>
        <v>0</v>
      </c>
      <c r="K41" s="100" t="str">
        <f>VLOOKUP($B41,[1]XinMoi!$B:$P,K$8,0)</f>
        <v xml:space="preserve">  </v>
      </c>
      <c r="L41" s="100" t="str">
        <f>VLOOKUP($B41,[1]XinMoi!$B:$P,L$8,0)</f>
        <v xml:space="preserve">  </v>
      </c>
      <c r="M41" s="100" t="str">
        <f>VLOOKUP($B41,[1]XinMoi!$B:$Z,M$8,0)</f>
        <v xml:space="preserve">  </v>
      </c>
      <c r="N41" s="89">
        <f t="shared" si="1"/>
        <v>0</v>
      </c>
      <c r="O41" s="89">
        <f t="shared" si="2"/>
        <v>1</v>
      </c>
    </row>
    <row r="42" spans="1:15" ht="20.100000000000001" hidden="1" customHeight="1">
      <c r="A42" s="88" t="str">
        <f>[1]XinMoi!A54</f>
        <v>0</v>
      </c>
      <c r="B42" s="98">
        <v>34</v>
      </c>
      <c r="C42" s="99">
        <f>VLOOKUP($B42,[1]XinMoi!$B:$J,C$8,0)</f>
        <v>0</v>
      </c>
      <c r="D42" s="100">
        <f>VLOOKUP($B42,[1]XinMoi!$B:$P,D$8,0)</f>
        <v>0</v>
      </c>
      <c r="E42" s="101">
        <f>VLOOKUP($B42,[1]XinMoi!$B:$P,E$8,0)</f>
        <v>0</v>
      </c>
      <c r="F42" s="102">
        <f>VLOOKUP($B42,[1]XinMoi!$B:$P,F$8,0)</f>
        <v>0</v>
      </c>
      <c r="G42" s="100">
        <f>VLOOKUP($B42,[1]XinMoi!$B:$P,G$8,0)</f>
        <v>0</v>
      </c>
      <c r="H42" s="100">
        <f>VLOOKUP($B42,[1]XinMoi!$B:$P,H$8,0)</f>
        <v>0</v>
      </c>
      <c r="I42" s="100">
        <f>VLOOKUP($B42,[1]XinMoi!$B:$P,I$8,0)</f>
        <v>0</v>
      </c>
      <c r="J42" s="100">
        <f>VLOOKUP($B42,[1]XinMoi!$B:$P,J$8,0)</f>
        <v>0</v>
      </c>
      <c r="K42" s="100" t="str">
        <f>VLOOKUP($B42,[1]XinMoi!$B:$P,K$8,0)</f>
        <v xml:space="preserve">  </v>
      </c>
      <c r="L42" s="100" t="str">
        <f>VLOOKUP($B42,[1]XinMoi!$B:$P,L$8,0)</f>
        <v xml:space="preserve">  </v>
      </c>
      <c r="M42" s="100" t="str">
        <f>VLOOKUP($B42,[1]XinMoi!$B:$Z,M$8,0)</f>
        <v xml:space="preserve">  </v>
      </c>
      <c r="N42" s="89">
        <f t="shared" si="1"/>
        <v>0</v>
      </c>
      <c r="O42" s="89">
        <f t="shared" si="2"/>
        <v>1</v>
      </c>
    </row>
    <row r="43" spans="1:15" ht="20.100000000000001" hidden="1" customHeight="1">
      <c r="A43" s="88" t="str">
        <f>[1]XinMoi!A55</f>
        <v>0</v>
      </c>
      <c r="B43" s="98">
        <v>35</v>
      </c>
      <c r="C43" s="99">
        <f>VLOOKUP($B43,[1]XinMoi!$B:$J,C$8,0)</f>
        <v>0</v>
      </c>
      <c r="D43" s="100">
        <f>VLOOKUP($B43,[1]XinMoi!$B:$P,D$8,0)</f>
        <v>0</v>
      </c>
      <c r="E43" s="101">
        <f>VLOOKUP($B43,[1]XinMoi!$B:$P,E$8,0)</f>
        <v>0</v>
      </c>
      <c r="F43" s="102">
        <f>VLOOKUP($B43,[1]XinMoi!$B:$P,F$8,0)</f>
        <v>0</v>
      </c>
      <c r="G43" s="100">
        <f>VLOOKUP($B43,[1]XinMoi!$B:$P,G$8,0)</f>
        <v>0</v>
      </c>
      <c r="H43" s="100">
        <f>VLOOKUP($B43,[1]XinMoi!$B:$P,H$8,0)</f>
        <v>0</v>
      </c>
      <c r="I43" s="100">
        <f>VLOOKUP($B43,[1]XinMoi!$B:$P,I$8,0)</f>
        <v>0</v>
      </c>
      <c r="J43" s="100">
        <f>VLOOKUP($B43,[1]XinMoi!$B:$P,J$8,0)</f>
        <v>0</v>
      </c>
      <c r="K43" s="100" t="str">
        <f>VLOOKUP($B43,[1]XinMoi!$B:$P,K$8,0)</f>
        <v xml:space="preserve">  </v>
      </c>
      <c r="L43" s="100" t="str">
        <f>VLOOKUP($B43,[1]XinMoi!$B:$P,L$8,0)</f>
        <v xml:space="preserve">  </v>
      </c>
      <c r="M43" s="100" t="str">
        <f>VLOOKUP($B43,[1]XinMoi!$B:$Z,M$8,0)</f>
        <v xml:space="preserve">  </v>
      </c>
      <c r="N43" s="89">
        <f t="shared" si="1"/>
        <v>0</v>
      </c>
      <c r="O43" s="89">
        <f t="shared" si="2"/>
        <v>1</v>
      </c>
    </row>
    <row r="44" spans="1:15" ht="20.100000000000001" hidden="1" customHeight="1">
      <c r="A44" s="88" t="str">
        <f>[1]XinMoi!A56</f>
        <v>0</v>
      </c>
      <c r="B44" s="98">
        <v>36</v>
      </c>
      <c r="C44" s="99">
        <f>VLOOKUP($B44,[1]XinMoi!$B:$J,C$8,0)</f>
        <v>0</v>
      </c>
      <c r="D44" s="100">
        <f>VLOOKUP($B44,[1]XinMoi!$B:$P,D$8,0)</f>
        <v>0</v>
      </c>
      <c r="E44" s="101">
        <f>VLOOKUP($B44,[1]XinMoi!$B:$P,E$8,0)</f>
        <v>0</v>
      </c>
      <c r="F44" s="102">
        <f>VLOOKUP($B44,[1]XinMoi!$B:$P,F$8,0)</f>
        <v>0</v>
      </c>
      <c r="G44" s="100">
        <f>VLOOKUP($B44,[1]XinMoi!$B:$P,G$8,0)</f>
        <v>0</v>
      </c>
      <c r="H44" s="100">
        <f>VLOOKUP($B44,[1]XinMoi!$B:$P,H$8,0)</f>
        <v>0</v>
      </c>
      <c r="I44" s="100">
        <f>VLOOKUP($B44,[1]XinMoi!$B:$P,I$8,0)</f>
        <v>0</v>
      </c>
      <c r="J44" s="100">
        <f>VLOOKUP($B44,[1]XinMoi!$B:$P,J$8,0)</f>
        <v>0</v>
      </c>
      <c r="K44" s="100" t="str">
        <f>VLOOKUP($B44,[1]XinMoi!$B:$P,K$8,0)</f>
        <v xml:space="preserve">  </v>
      </c>
      <c r="L44" s="100" t="str">
        <f>VLOOKUP($B44,[1]XinMoi!$B:$P,L$8,0)</f>
        <v xml:space="preserve">  </v>
      </c>
      <c r="M44" s="100" t="str">
        <f>VLOOKUP($B44,[1]XinMoi!$B:$Z,M$8,0)</f>
        <v xml:space="preserve">  </v>
      </c>
      <c r="N44" s="89">
        <f t="shared" si="1"/>
        <v>0</v>
      </c>
      <c r="O44" s="89">
        <f t="shared" si="2"/>
        <v>1</v>
      </c>
    </row>
    <row r="45" spans="1:15" ht="20.100000000000001" hidden="1" customHeight="1">
      <c r="A45" s="88" t="str">
        <f>[1]XinMoi!A57</f>
        <v>0</v>
      </c>
      <c r="B45" s="98">
        <v>37</v>
      </c>
      <c r="C45" s="99">
        <f>VLOOKUP($B45,[1]XinMoi!$B:$J,C$8,0)</f>
        <v>0</v>
      </c>
      <c r="D45" s="100">
        <f>VLOOKUP($B45,[1]XinMoi!$B:$P,D$8,0)</f>
        <v>0</v>
      </c>
      <c r="E45" s="101">
        <f>VLOOKUP($B45,[1]XinMoi!$B:$P,E$8,0)</f>
        <v>0</v>
      </c>
      <c r="F45" s="102">
        <f>VLOOKUP($B45,[1]XinMoi!$B:$P,F$8,0)</f>
        <v>0</v>
      </c>
      <c r="G45" s="100">
        <f>VLOOKUP($B45,[1]XinMoi!$B:$P,G$8,0)</f>
        <v>0</v>
      </c>
      <c r="H45" s="100">
        <f>VLOOKUP($B45,[1]XinMoi!$B:$P,H$8,0)</f>
        <v>0</v>
      </c>
      <c r="I45" s="100">
        <f>VLOOKUP($B45,[1]XinMoi!$B:$P,I$8,0)</f>
        <v>0</v>
      </c>
      <c r="J45" s="100">
        <f>VLOOKUP($B45,[1]XinMoi!$B:$P,J$8,0)</f>
        <v>0</v>
      </c>
      <c r="K45" s="100" t="str">
        <f>VLOOKUP($B45,[1]XinMoi!$B:$P,K$8,0)</f>
        <v xml:space="preserve">  </v>
      </c>
      <c r="L45" s="100" t="str">
        <f>VLOOKUP($B45,[1]XinMoi!$B:$P,L$8,0)</f>
        <v xml:space="preserve">  </v>
      </c>
      <c r="M45" s="100" t="str">
        <f>VLOOKUP($B45,[1]XinMoi!$B:$Z,M$8,0)</f>
        <v xml:space="preserve">  </v>
      </c>
      <c r="N45" s="89">
        <f t="shared" si="1"/>
        <v>0</v>
      </c>
      <c r="O45" s="89">
        <f t="shared" si="2"/>
        <v>1</v>
      </c>
    </row>
    <row r="46" spans="1:15" ht="20.100000000000001" hidden="1" customHeight="1">
      <c r="A46" s="88" t="str">
        <f>[1]XinMoi!A58</f>
        <v>0</v>
      </c>
      <c r="B46" s="98">
        <v>38</v>
      </c>
      <c r="C46" s="99">
        <f>VLOOKUP($B46,[1]XinMoi!$B:$J,C$8,0)</f>
        <v>0</v>
      </c>
      <c r="D46" s="100">
        <f>VLOOKUP($B46,[1]XinMoi!$B:$P,D$8,0)</f>
        <v>0</v>
      </c>
      <c r="E46" s="101">
        <f>VLOOKUP($B46,[1]XinMoi!$B:$P,E$8,0)</f>
        <v>0</v>
      </c>
      <c r="F46" s="102">
        <f>VLOOKUP($B46,[1]XinMoi!$B:$P,F$8,0)</f>
        <v>0</v>
      </c>
      <c r="G46" s="100">
        <f>VLOOKUP($B46,[1]XinMoi!$B:$P,G$8,0)</f>
        <v>0</v>
      </c>
      <c r="H46" s="100">
        <f>VLOOKUP($B46,[1]XinMoi!$B:$P,H$8,0)</f>
        <v>0</v>
      </c>
      <c r="I46" s="100">
        <f>VLOOKUP($B46,[1]XinMoi!$B:$P,I$8,0)</f>
        <v>0</v>
      </c>
      <c r="J46" s="100">
        <f>VLOOKUP($B46,[1]XinMoi!$B:$P,J$8,0)</f>
        <v>0</v>
      </c>
      <c r="K46" s="100" t="str">
        <f>VLOOKUP($B46,[1]XinMoi!$B:$P,K$8,0)</f>
        <v xml:space="preserve">  </v>
      </c>
      <c r="L46" s="100" t="str">
        <f>VLOOKUP($B46,[1]XinMoi!$B:$P,L$8,0)</f>
        <v xml:space="preserve">  </v>
      </c>
      <c r="M46" s="100" t="str">
        <f>VLOOKUP($B46,[1]XinMoi!$B:$Z,M$8,0)</f>
        <v xml:space="preserve">  </v>
      </c>
      <c r="N46" s="89">
        <f t="shared" si="1"/>
        <v>0</v>
      </c>
      <c r="O46" s="89">
        <f t="shared" si="2"/>
        <v>1</v>
      </c>
    </row>
    <row r="47" spans="1:15" ht="20.100000000000001" hidden="1" customHeight="1">
      <c r="A47" s="88" t="str">
        <f>[1]XinMoi!A59</f>
        <v>0</v>
      </c>
      <c r="B47" s="98">
        <v>39</v>
      </c>
      <c r="C47" s="99">
        <f>VLOOKUP($B47,[1]XinMoi!$B:$J,C$8,0)</f>
        <v>0</v>
      </c>
      <c r="D47" s="100">
        <f>VLOOKUP($B47,[1]XinMoi!$B:$P,D$8,0)</f>
        <v>0</v>
      </c>
      <c r="E47" s="101">
        <f>VLOOKUP($B47,[1]XinMoi!$B:$P,E$8,0)</f>
        <v>0</v>
      </c>
      <c r="F47" s="102">
        <f>VLOOKUP($B47,[1]XinMoi!$B:$P,F$8,0)</f>
        <v>0</v>
      </c>
      <c r="G47" s="100">
        <f>VLOOKUP($B47,[1]XinMoi!$B:$P,G$8,0)</f>
        <v>0</v>
      </c>
      <c r="H47" s="100">
        <f>VLOOKUP($B47,[1]XinMoi!$B:$P,H$8,0)</f>
        <v>0</v>
      </c>
      <c r="I47" s="100">
        <f>VLOOKUP($B47,[1]XinMoi!$B:$P,I$8,0)</f>
        <v>0</v>
      </c>
      <c r="J47" s="100">
        <f>VLOOKUP($B47,[1]XinMoi!$B:$P,J$8,0)</f>
        <v>0</v>
      </c>
      <c r="K47" s="100" t="str">
        <f>VLOOKUP($B47,[1]XinMoi!$B:$P,K$8,0)</f>
        <v xml:space="preserve">  </v>
      </c>
      <c r="L47" s="100" t="str">
        <f>VLOOKUP($B47,[1]XinMoi!$B:$P,L$8,0)</f>
        <v xml:space="preserve">  </v>
      </c>
      <c r="M47" s="100" t="str">
        <f>VLOOKUP($B47,[1]XinMoi!$B:$Z,M$8,0)</f>
        <v xml:space="preserve">  </v>
      </c>
      <c r="N47" s="89">
        <f t="shared" si="1"/>
        <v>0</v>
      </c>
      <c r="O47" s="89">
        <f t="shared" si="2"/>
        <v>1</v>
      </c>
    </row>
    <row r="48" spans="1:15" ht="20.100000000000001" hidden="1" customHeight="1">
      <c r="A48" s="88" t="str">
        <f>[1]XinMoi!A60</f>
        <v>0</v>
      </c>
      <c r="B48" s="98">
        <v>40</v>
      </c>
      <c r="C48" s="99">
        <f>VLOOKUP($B48,[1]XinMoi!$B:$J,C$8,0)</f>
        <v>0</v>
      </c>
      <c r="D48" s="100">
        <f>VLOOKUP($B48,[1]XinMoi!$B:$P,D$8,0)</f>
        <v>0</v>
      </c>
      <c r="E48" s="101">
        <f>VLOOKUP($B48,[1]XinMoi!$B:$P,E$8,0)</f>
        <v>0</v>
      </c>
      <c r="F48" s="102">
        <f>VLOOKUP($B48,[1]XinMoi!$B:$P,F$8,0)</f>
        <v>0</v>
      </c>
      <c r="G48" s="100">
        <f>VLOOKUP($B48,[1]XinMoi!$B:$P,G$8,0)</f>
        <v>0</v>
      </c>
      <c r="H48" s="100">
        <f>VLOOKUP($B48,[1]XinMoi!$B:$P,H$8,0)</f>
        <v>0</v>
      </c>
      <c r="I48" s="100">
        <f>VLOOKUP($B48,[1]XinMoi!$B:$P,I$8,0)</f>
        <v>0</v>
      </c>
      <c r="J48" s="100">
        <f>VLOOKUP($B48,[1]XinMoi!$B:$P,J$8,0)</f>
        <v>0</v>
      </c>
      <c r="K48" s="100" t="str">
        <f>VLOOKUP($B48,[1]XinMoi!$B:$P,K$8,0)</f>
        <v xml:space="preserve">  </v>
      </c>
      <c r="L48" s="100" t="str">
        <f>VLOOKUP($B48,[1]XinMoi!$B:$P,L$8,0)</f>
        <v xml:space="preserve">  </v>
      </c>
      <c r="M48" s="100" t="str">
        <f>VLOOKUP($B48,[1]XinMoi!$B:$Z,M$8,0)</f>
        <v xml:space="preserve">  </v>
      </c>
      <c r="N48" s="89">
        <f t="shared" si="1"/>
        <v>0</v>
      </c>
      <c r="O48" s="89">
        <f t="shared" si="2"/>
        <v>1</v>
      </c>
    </row>
    <row r="49" spans="1:15" ht="20.100000000000001" hidden="1" customHeight="1">
      <c r="A49" s="88" t="str">
        <f>[1]XinMoi!A61</f>
        <v>0</v>
      </c>
      <c r="B49" s="98">
        <v>41</v>
      </c>
      <c r="C49" s="99">
        <f>VLOOKUP($B49,[1]XinMoi!$B:$J,C$8,0)</f>
        <v>0</v>
      </c>
      <c r="D49" s="100">
        <f>VLOOKUP($B49,[1]XinMoi!$B:$P,D$8,0)</f>
        <v>0</v>
      </c>
      <c r="E49" s="101">
        <f>VLOOKUP($B49,[1]XinMoi!$B:$P,E$8,0)</f>
        <v>0</v>
      </c>
      <c r="F49" s="102">
        <f>VLOOKUP($B49,[1]XinMoi!$B:$P,F$8,0)</f>
        <v>0</v>
      </c>
      <c r="G49" s="100">
        <f>VLOOKUP($B49,[1]XinMoi!$B:$P,G$8,0)</f>
        <v>0</v>
      </c>
      <c r="H49" s="100">
        <f>VLOOKUP($B49,[1]XinMoi!$B:$P,H$8,0)</f>
        <v>0</v>
      </c>
      <c r="I49" s="100">
        <f>VLOOKUP($B49,[1]XinMoi!$B:$P,I$8,0)</f>
        <v>0</v>
      </c>
      <c r="J49" s="100">
        <f>VLOOKUP($B49,[1]XinMoi!$B:$P,J$8,0)</f>
        <v>0</v>
      </c>
      <c r="K49" s="100" t="str">
        <f>VLOOKUP($B49,[1]XinMoi!$B:$P,K$8,0)</f>
        <v xml:space="preserve">  </v>
      </c>
      <c r="L49" s="100" t="str">
        <f>VLOOKUP($B49,[1]XinMoi!$B:$P,L$8,0)</f>
        <v xml:space="preserve">  </v>
      </c>
      <c r="M49" s="100" t="str">
        <f>VLOOKUP($B49,[1]XinMoi!$B:$Z,M$8,0)</f>
        <v xml:space="preserve">  </v>
      </c>
      <c r="N49" s="89">
        <f t="shared" si="1"/>
        <v>0</v>
      </c>
      <c r="O49" s="89">
        <f t="shared" si="2"/>
        <v>1</v>
      </c>
    </row>
    <row r="50" spans="1:15" ht="20.100000000000001" hidden="1" customHeight="1">
      <c r="A50" s="88" t="str">
        <f>[1]XinMoi!A62</f>
        <v>0</v>
      </c>
      <c r="B50" s="98">
        <v>42</v>
      </c>
      <c r="C50" s="99">
        <f>VLOOKUP($B50,[1]XinMoi!$B:$J,C$8,0)</f>
        <v>0</v>
      </c>
      <c r="D50" s="100">
        <f>VLOOKUP($B50,[1]XinMoi!$B:$P,D$8,0)</f>
        <v>0</v>
      </c>
      <c r="E50" s="101">
        <f>VLOOKUP($B50,[1]XinMoi!$B:$P,E$8,0)</f>
        <v>0</v>
      </c>
      <c r="F50" s="102">
        <f>VLOOKUP($B50,[1]XinMoi!$B:$P,F$8,0)</f>
        <v>0</v>
      </c>
      <c r="G50" s="100">
        <f>VLOOKUP($B50,[1]XinMoi!$B:$P,G$8,0)</f>
        <v>0</v>
      </c>
      <c r="H50" s="100">
        <f>VLOOKUP($B50,[1]XinMoi!$B:$P,H$8,0)</f>
        <v>0</v>
      </c>
      <c r="I50" s="100">
        <f>VLOOKUP($B50,[1]XinMoi!$B:$P,I$8,0)</f>
        <v>0</v>
      </c>
      <c r="J50" s="100">
        <f>VLOOKUP($B50,[1]XinMoi!$B:$P,J$8,0)</f>
        <v>0</v>
      </c>
      <c r="K50" s="100" t="str">
        <f>VLOOKUP($B50,[1]XinMoi!$B:$P,K$8,0)</f>
        <v xml:space="preserve">  </v>
      </c>
      <c r="L50" s="100" t="str">
        <f>VLOOKUP($B50,[1]XinMoi!$B:$P,L$8,0)</f>
        <v xml:space="preserve">  </v>
      </c>
      <c r="M50" s="100" t="str">
        <f>VLOOKUP($B50,[1]XinMoi!$B:$Z,M$8,0)</f>
        <v xml:space="preserve">  </v>
      </c>
      <c r="N50" s="89">
        <f t="shared" si="1"/>
        <v>0</v>
      </c>
      <c r="O50" s="89">
        <f t="shared" si="2"/>
        <v>1</v>
      </c>
    </row>
    <row r="51" spans="1:15" ht="20.100000000000001" hidden="1" customHeight="1">
      <c r="A51" s="88" t="str">
        <f>[1]XinMoi!A63</f>
        <v>0</v>
      </c>
      <c r="B51" s="98">
        <v>43</v>
      </c>
      <c r="C51" s="99">
        <f>VLOOKUP($B51,[1]XinMoi!$B:$J,C$8,0)</f>
        <v>0</v>
      </c>
      <c r="D51" s="100">
        <f>VLOOKUP($B51,[1]XinMoi!$B:$P,D$8,0)</f>
        <v>0</v>
      </c>
      <c r="E51" s="101">
        <f>VLOOKUP($B51,[1]XinMoi!$B:$P,E$8,0)</f>
        <v>0</v>
      </c>
      <c r="F51" s="102">
        <f>VLOOKUP($B51,[1]XinMoi!$B:$P,F$8,0)</f>
        <v>0</v>
      </c>
      <c r="G51" s="100">
        <f>VLOOKUP($B51,[1]XinMoi!$B:$P,G$8,0)</f>
        <v>0</v>
      </c>
      <c r="H51" s="100">
        <f>VLOOKUP($B51,[1]XinMoi!$B:$P,H$8,0)</f>
        <v>0</v>
      </c>
      <c r="I51" s="100">
        <f>VLOOKUP($B51,[1]XinMoi!$B:$P,I$8,0)</f>
        <v>0</v>
      </c>
      <c r="J51" s="100">
        <f>VLOOKUP($B51,[1]XinMoi!$B:$P,J$8,0)</f>
        <v>0</v>
      </c>
      <c r="K51" s="100" t="str">
        <f>VLOOKUP($B51,[1]XinMoi!$B:$P,K$8,0)</f>
        <v xml:space="preserve">  </v>
      </c>
      <c r="L51" s="100" t="str">
        <f>VLOOKUP($B51,[1]XinMoi!$B:$P,L$8,0)</f>
        <v xml:space="preserve">  </v>
      </c>
      <c r="M51" s="100" t="str">
        <f>VLOOKUP($B51,[1]XinMoi!$B:$Z,M$8,0)</f>
        <v xml:space="preserve">  </v>
      </c>
      <c r="N51" s="89">
        <f t="shared" si="1"/>
        <v>0</v>
      </c>
      <c r="O51" s="89">
        <f t="shared" si="2"/>
        <v>1</v>
      </c>
    </row>
    <row r="52" spans="1:15" ht="20.100000000000001" hidden="1" customHeight="1">
      <c r="A52" s="88" t="str">
        <f>[1]XinMoi!A64</f>
        <v>0</v>
      </c>
      <c r="B52" s="98">
        <v>44</v>
      </c>
      <c r="C52" s="99">
        <f>VLOOKUP($B52,[1]XinMoi!$B:$J,C$8,0)</f>
        <v>0</v>
      </c>
      <c r="D52" s="100">
        <f>VLOOKUP($B52,[1]XinMoi!$B:$P,D$8,0)</f>
        <v>0</v>
      </c>
      <c r="E52" s="101">
        <f>VLOOKUP($B52,[1]XinMoi!$B:$P,E$8,0)</f>
        <v>0</v>
      </c>
      <c r="F52" s="102">
        <f>VLOOKUP($B52,[1]XinMoi!$B:$P,F$8,0)</f>
        <v>0</v>
      </c>
      <c r="G52" s="100">
        <f>VLOOKUP($B52,[1]XinMoi!$B:$P,G$8,0)</f>
        <v>0</v>
      </c>
      <c r="H52" s="100">
        <f>VLOOKUP($B52,[1]XinMoi!$B:$P,H$8,0)</f>
        <v>0</v>
      </c>
      <c r="I52" s="100">
        <f>VLOOKUP($B52,[1]XinMoi!$B:$P,I$8,0)</f>
        <v>0</v>
      </c>
      <c r="J52" s="100">
        <f>VLOOKUP($B52,[1]XinMoi!$B:$P,J$8,0)</f>
        <v>0</v>
      </c>
      <c r="K52" s="100" t="str">
        <f>VLOOKUP($B52,[1]XinMoi!$B:$P,K$8,0)</f>
        <v xml:space="preserve">  </v>
      </c>
      <c r="L52" s="100" t="str">
        <f>VLOOKUP($B52,[1]XinMoi!$B:$P,L$8,0)</f>
        <v xml:space="preserve">  </v>
      </c>
      <c r="M52" s="100" t="str">
        <f>VLOOKUP($B52,[1]XinMoi!$B:$Z,M$8,0)</f>
        <v xml:space="preserve">  </v>
      </c>
      <c r="N52" s="89">
        <f t="shared" si="1"/>
        <v>0</v>
      </c>
      <c r="O52" s="89">
        <f t="shared" si="2"/>
        <v>1</v>
      </c>
    </row>
    <row r="53" spans="1:15" ht="20.100000000000001" hidden="1" customHeight="1">
      <c r="A53" s="88" t="str">
        <f>[1]XinMoi!A65</f>
        <v>0</v>
      </c>
      <c r="B53" s="98">
        <v>45</v>
      </c>
      <c r="C53" s="99">
        <f>VLOOKUP($B53,[1]XinMoi!$B:$J,C$8,0)</f>
        <v>0</v>
      </c>
      <c r="D53" s="100">
        <f>VLOOKUP($B53,[1]XinMoi!$B:$P,D$8,0)</f>
        <v>0</v>
      </c>
      <c r="E53" s="101">
        <f>VLOOKUP($B53,[1]XinMoi!$B:$P,E$8,0)</f>
        <v>0</v>
      </c>
      <c r="F53" s="102">
        <f>VLOOKUP($B53,[1]XinMoi!$B:$P,F$8,0)</f>
        <v>0</v>
      </c>
      <c r="G53" s="100">
        <f>VLOOKUP($B53,[1]XinMoi!$B:$P,G$8,0)</f>
        <v>0</v>
      </c>
      <c r="H53" s="100">
        <f>VLOOKUP($B53,[1]XinMoi!$B:$P,H$8,0)</f>
        <v>0</v>
      </c>
      <c r="I53" s="100">
        <f>VLOOKUP($B53,[1]XinMoi!$B:$P,I$8,0)</f>
        <v>0</v>
      </c>
      <c r="J53" s="100">
        <f>VLOOKUP($B53,[1]XinMoi!$B:$P,J$8,0)</f>
        <v>0</v>
      </c>
      <c r="K53" s="100" t="str">
        <f>VLOOKUP($B53,[1]XinMoi!$B:$P,K$8,0)</f>
        <v xml:space="preserve">  </v>
      </c>
      <c r="L53" s="100" t="str">
        <f>VLOOKUP($B53,[1]XinMoi!$B:$P,L$8,0)</f>
        <v xml:space="preserve">  </v>
      </c>
      <c r="M53" s="100" t="str">
        <f>VLOOKUP($B53,[1]XinMoi!$B:$Z,M$8,0)</f>
        <v xml:space="preserve">  </v>
      </c>
      <c r="N53" s="89">
        <f t="shared" si="1"/>
        <v>0</v>
      </c>
      <c r="O53" s="89">
        <f t="shared" si="2"/>
        <v>1</v>
      </c>
    </row>
    <row r="54" spans="1:15" ht="20.100000000000001" hidden="1" customHeight="1">
      <c r="A54" s="88" t="str">
        <f>[1]XinMoi!A66</f>
        <v>0</v>
      </c>
      <c r="B54" s="98">
        <v>46</v>
      </c>
      <c r="C54" s="99">
        <f>VLOOKUP($B54,[1]XinMoi!$B:$J,C$8,0)</f>
        <v>0</v>
      </c>
      <c r="D54" s="100">
        <f>VLOOKUP($B54,[1]XinMoi!$B:$P,D$8,0)</f>
        <v>0</v>
      </c>
      <c r="E54" s="101">
        <f>VLOOKUP($B54,[1]XinMoi!$B:$P,E$8,0)</f>
        <v>0</v>
      </c>
      <c r="F54" s="102">
        <f>VLOOKUP($B54,[1]XinMoi!$B:$P,F$8,0)</f>
        <v>0</v>
      </c>
      <c r="G54" s="100">
        <f>VLOOKUP($B54,[1]XinMoi!$B:$P,G$8,0)</f>
        <v>0</v>
      </c>
      <c r="H54" s="100">
        <f>VLOOKUP($B54,[1]XinMoi!$B:$P,H$8,0)</f>
        <v>0</v>
      </c>
      <c r="I54" s="100">
        <f>VLOOKUP($B54,[1]XinMoi!$B:$P,I$8,0)</f>
        <v>0</v>
      </c>
      <c r="J54" s="100">
        <f>VLOOKUP($B54,[1]XinMoi!$B:$P,J$8,0)</f>
        <v>0</v>
      </c>
      <c r="K54" s="100" t="str">
        <f>VLOOKUP($B54,[1]XinMoi!$B:$P,K$8,0)</f>
        <v xml:space="preserve">  </v>
      </c>
      <c r="L54" s="100" t="str">
        <f>VLOOKUP($B54,[1]XinMoi!$B:$P,L$8,0)</f>
        <v xml:space="preserve">  </v>
      </c>
      <c r="M54" s="100" t="str">
        <f>VLOOKUP($B54,[1]XinMoi!$B:$Z,M$8,0)</f>
        <v xml:space="preserve">  </v>
      </c>
      <c r="N54" s="89">
        <f t="shared" si="1"/>
        <v>0</v>
      </c>
      <c r="O54" s="89">
        <f t="shared" si="2"/>
        <v>1</v>
      </c>
    </row>
    <row r="55" spans="1:15" ht="20.100000000000001" hidden="1" customHeight="1">
      <c r="A55" s="88" t="str">
        <f>[1]XinMoi!A67</f>
        <v>0</v>
      </c>
      <c r="B55" s="98">
        <v>47</v>
      </c>
      <c r="C55" s="99">
        <f>VLOOKUP($B55,[1]XinMoi!$B:$J,C$8,0)</f>
        <v>0</v>
      </c>
      <c r="D55" s="100">
        <f>VLOOKUP($B55,[1]XinMoi!$B:$P,D$8,0)</f>
        <v>0</v>
      </c>
      <c r="E55" s="101">
        <f>VLOOKUP($B55,[1]XinMoi!$B:$P,E$8,0)</f>
        <v>0</v>
      </c>
      <c r="F55" s="102">
        <f>VLOOKUP($B55,[1]XinMoi!$B:$P,F$8,0)</f>
        <v>0</v>
      </c>
      <c r="G55" s="100">
        <f>VLOOKUP($B55,[1]XinMoi!$B:$P,G$8,0)</f>
        <v>0</v>
      </c>
      <c r="H55" s="100">
        <f>VLOOKUP($B55,[1]XinMoi!$B:$P,H$8,0)</f>
        <v>0</v>
      </c>
      <c r="I55" s="100">
        <f>VLOOKUP($B55,[1]XinMoi!$B:$P,I$8,0)</f>
        <v>0</v>
      </c>
      <c r="J55" s="100">
        <f>VLOOKUP($B55,[1]XinMoi!$B:$P,J$8,0)</f>
        <v>0</v>
      </c>
      <c r="K55" s="100" t="str">
        <f>VLOOKUP($B55,[1]XinMoi!$B:$P,K$8,0)</f>
        <v xml:space="preserve">  </v>
      </c>
      <c r="L55" s="100" t="str">
        <f>VLOOKUP($B55,[1]XinMoi!$B:$P,L$8,0)</f>
        <v xml:space="preserve">  </v>
      </c>
      <c r="M55" s="100" t="str">
        <f>VLOOKUP($B55,[1]XinMoi!$B:$Z,M$8,0)</f>
        <v xml:space="preserve">  </v>
      </c>
      <c r="N55" s="89">
        <f t="shared" si="1"/>
        <v>0</v>
      </c>
      <c r="O55" s="89">
        <f t="shared" si="2"/>
        <v>1</v>
      </c>
    </row>
    <row r="56" spans="1:15" ht="20.100000000000001" hidden="1" customHeight="1">
      <c r="A56" s="88" t="str">
        <f>[1]XinMoi!A68</f>
        <v>0</v>
      </c>
      <c r="B56" s="98">
        <v>48</v>
      </c>
      <c r="C56" s="99">
        <f>VLOOKUP($B56,[1]XinMoi!$B:$J,C$8,0)</f>
        <v>0</v>
      </c>
      <c r="D56" s="100">
        <f>VLOOKUP($B56,[1]XinMoi!$B:$P,D$8,0)</f>
        <v>0</v>
      </c>
      <c r="E56" s="101">
        <f>VLOOKUP($B56,[1]XinMoi!$B:$P,E$8,0)</f>
        <v>0</v>
      </c>
      <c r="F56" s="102">
        <f>VLOOKUP($B56,[1]XinMoi!$B:$P,F$8,0)</f>
        <v>0</v>
      </c>
      <c r="G56" s="100">
        <f>VLOOKUP($B56,[1]XinMoi!$B:$P,G$8,0)</f>
        <v>0</v>
      </c>
      <c r="H56" s="100">
        <f>VLOOKUP($B56,[1]XinMoi!$B:$P,H$8,0)</f>
        <v>0</v>
      </c>
      <c r="I56" s="100">
        <f>VLOOKUP($B56,[1]XinMoi!$B:$P,I$8,0)</f>
        <v>0</v>
      </c>
      <c r="J56" s="100">
        <f>VLOOKUP($B56,[1]XinMoi!$B:$P,J$8,0)</f>
        <v>0</v>
      </c>
      <c r="K56" s="100" t="str">
        <f>VLOOKUP($B56,[1]XinMoi!$B:$P,K$8,0)</f>
        <v xml:space="preserve">  </v>
      </c>
      <c r="L56" s="100" t="str">
        <f>VLOOKUP($B56,[1]XinMoi!$B:$P,L$8,0)</f>
        <v xml:space="preserve">  </v>
      </c>
      <c r="M56" s="100" t="str">
        <f>VLOOKUP($B56,[1]XinMoi!$B:$Z,M$8,0)</f>
        <v xml:space="preserve">  </v>
      </c>
      <c r="N56" s="89">
        <f t="shared" si="1"/>
        <v>0</v>
      </c>
      <c r="O56" s="89">
        <f t="shared" si="2"/>
        <v>1</v>
      </c>
    </row>
    <row r="57" spans="1:15" ht="20.100000000000001" hidden="1" customHeight="1">
      <c r="A57" s="88" t="str">
        <f>[1]XinMoi!A69</f>
        <v>0</v>
      </c>
      <c r="B57" s="98">
        <v>49</v>
      </c>
      <c r="C57" s="99">
        <f>VLOOKUP($B57,[1]XinMoi!$B:$J,C$8,0)</f>
        <v>0</v>
      </c>
      <c r="D57" s="100">
        <f>VLOOKUP($B57,[1]XinMoi!$B:$P,D$8,0)</f>
        <v>0</v>
      </c>
      <c r="E57" s="101">
        <f>VLOOKUP($B57,[1]XinMoi!$B:$P,E$8,0)</f>
        <v>0</v>
      </c>
      <c r="F57" s="102">
        <f>VLOOKUP($B57,[1]XinMoi!$B:$P,F$8,0)</f>
        <v>0</v>
      </c>
      <c r="G57" s="100">
        <f>VLOOKUP($B57,[1]XinMoi!$B:$P,G$8,0)</f>
        <v>0</v>
      </c>
      <c r="H57" s="100">
        <f>VLOOKUP($B57,[1]XinMoi!$B:$P,H$8,0)</f>
        <v>0</v>
      </c>
      <c r="I57" s="100">
        <f>VLOOKUP($B57,[1]XinMoi!$B:$P,I$8,0)</f>
        <v>0</v>
      </c>
      <c r="J57" s="100">
        <f>VLOOKUP($B57,[1]XinMoi!$B:$P,J$8,0)</f>
        <v>0</v>
      </c>
      <c r="K57" s="100" t="str">
        <f>VLOOKUP($B57,[1]XinMoi!$B:$P,K$8,0)</f>
        <v xml:space="preserve">  </v>
      </c>
      <c r="L57" s="100" t="str">
        <f>VLOOKUP($B57,[1]XinMoi!$B:$P,L$8,0)</f>
        <v xml:space="preserve">  </v>
      </c>
      <c r="M57" s="100" t="str">
        <f>VLOOKUP($B57,[1]XinMoi!$B:$Z,M$8,0)</f>
        <v xml:space="preserve">  </v>
      </c>
      <c r="N57" s="89">
        <f t="shared" si="1"/>
        <v>0</v>
      </c>
      <c r="O57" s="89">
        <f t="shared" si="2"/>
        <v>1</v>
      </c>
    </row>
    <row r="58" spans="1:15" ht="20.100000000000001" hidden="1" customHeight="1">
      <c r="A58" s="88" t="str">
        <f>[1]XinMoi!A70</f>
        <v>0</v>
      </c>
      <c r="B58" s="98">
        <v>50</v>
      </c>
      <c r="C58" s="99">
        <f>VLOOKUP($B58,[1]XinMoi!$B:$J,C$8,0)</f>
        <v>0</v>
      </c>
      <c r="D58" s="100">
        <f>VLOOKUP($B58,[1]XinMoi!$B:$P,D$8,0)</f>
        <v>0</v>
      </c>
      <c r="E58" s="101">
        <f>VLOOKUP($B58,[1]XinMoi!$B:$P,E$8,0)</f>
        <v>0</v>
      </c>
      <c r="F58" s="102">
        <f>VLOOKUP($B58,[1]XinMoi!$B:$P,F$8,0)</f>
        <v>0</v>
      </c>
      <c r="G58" s="100">
        <f>VLOOKUP($B58,[1]XinMoi!$B:$P,G$8,0)</f>
        <v>0</v>
      </c>
      <c r="H58" s="100">
        <f>VLOOKUP($B58,[1]XinMoi!$B:$P,H$8,0)</f>
        <v>0</v>
      </c>
      <c r="I58" s="100">
        <f>VLOOKUP($B58,[1]XinMoi!$B:$P,I$8,0)</f>
        <v>0</v>
      </c>
      <c r="J58" s="100">
        <f>VLOOKUP($B58,[1]XinMoi!$B:$P,J$8,0)</f>
        <v>0</v>
      </c>
      <c r="K58" s="100" t="str">
        <f>VLOOKUP($B58,[1]XinMoi!$B:$P,K$8,0)</f>
        <v xml:space="preserve">  </v>
      </c>
      <c r="L58" s="100" t="str">
        <f>VLOOKUP($B58,[1]XinMoi!$B:$P,L$8,0)</f>
        <v xml:space="preserve">  </v>
      </c>
      <c r="M58" s="100" t="str">
        <f>VLOOKUP($B58,[1]XinMoi!$B:$Z,M$8,0)</f>
        <v xml:space="preserve">  </v>
      </c>
      <c r="N58" s="89">
        <f t="shared" si="1"/>
        <v>0</v>
      </c>
      <c r="O58" s="89">
        <f t="shared" si="2"/>
        <v>1</v>
      </c>
    </row>
    <row r="59" spans="1:15" ht="20.100000000000001" hidden="1" customHeight="1">
      <c r="A59" s="88" t="str">
        <f>[1]XinMoi!A71</f>
        <v>0</v>
      </c>
      <c r="B59" s="98">
        <v>51</v>
      </c>
      <c r="C59" s="99">
        <f>VLOOKUP($B59,[1]XinMoi!$B:$J,C$8,0)</f>
        <v>0</v>
      </c>
      <c r="D59" s="100">
        <f>VLOOKUP($B59,[1]XinMoi!$B:$P,D$8,0)</f>
        <v>0</v>
      </c>
      <c r="E59" s="101">
        <f>VLOOKUP($B59,[1]XinMoi!$B:$P,E$8,0)</f>
        <v>0</v>
      </c>
      <c r="F59" s="102">
        <f>VLOOKUP($B59,[1]XinMoi!$B:$P,F$8,0)</f>
        <v>0</v>
      </c>
      <c r="G59" s="100">
        <f>VLOOKUP($B59,[1]XinMoi!$B:$P,G$8,0)</f>
        <v>0</v>
      </c>
      <c r="H59" s="100">
        <f>VLOOKUP($B59,[1]XinMoi!$B:$P,H$8,0)</f>
        <v>0</v>
      </c>
      <c r="I59" s="100">
        <f>VLOOKUP($B59,[1]XinMoi!$B:$P,I$8,0)</f>
        <v>0</v>
      </c>
      <c r="J59" s="100">
        <f>VLOOKUP($B59,[1]XinMoi!$B:$P,J$8,0)</f>
        <v>0</v>
      </c>
      <c r="K59" s="100" t="str">
        <f>VLOOKUP($B59,[1]XinMoi!$B:$P,K$8,0)</f>
        <v xml:space="preserve">  </v>
      </c>
      <c r="L59" s="100" t="str">
        <f>VLOOKUP($B59,[1]XinMoi!$B:$P,L$8,0)</f>
        <v xml:space="preserve">  </v>
      </c>
      <c r="M59" s="100" t="str">
        <f>VLOOKUP($B59,[1]XinMoi!$B:$Z,M$8,0)</f>
        <v xml:space="preserve">  </v>
      </c>
      <c r="N59" s="89">
        <f t="shared" si="1"/>
        <v>0</v>
      </c>
      <c r="O59" s="89">
        <f t="shared" si="2"/>
        <v>1</v>
      </c>
    </row>
    <row r="60" spans="1:15" ht="20.100000000000001" hidden="1" customHeight="1">
      <c r="A60" s="88" t="str">
        <f>[1]XinMoi!A72</f>
        <v>0</v>
      </c>
      <c r="B60" s="98">
        <v>52</v>
      </c>
      <c r="C60" s="99">
        <f>VLOOKUP($B60,[1]XinMoi!$B:$J,C$8,0)</f>
        <v>0</v>
      </c>
      <c r="D60" s="100">
        <f>VLOOKUP($B60,[1]XinMoi!$B:$P,D$8,0)</f>
        <v>0</v>
      </c>
      <c r="E60" s="101">
        <f>VLOOKUP($B60,[1]XinMoi!$B:$P,E$8,0)</f>
        <v>0</v>
      </c>
      <c r="F60" s="102">
        <f>VLOOKUP($B60,[1]XinMoi!$B:$P,F$8,0)</f>
        <v>0</v>
      </c>
      <c r="G60" s="100">
        <f>VLOOKUP($B60,[1]XinMoi!$B:$P,G$8,0)</f>
        <v>0</v>
      </c>
      <c r="H60" s="100">
        <f>VLOOKUP($B60,[1]XinMoi!$B:$P,H$8,0)</f>
        <v>0</v>
      </c>
      <c r="I60" s="100">
        <f>VLOOKUP($B60,[1]XinMoi!$B:$P,I$8,0)</f>
        <v>0</v>
      </c>
      <c r="J60" s="100">
        <f>VLOOKUP($B60,[1]XinMoi!$B:$P,J$8,0)</f>
        <v>0</v>
      </c>
      <c r="K60" s="100" t="str">
        <f>VLOOKUP($B60,[1]XinMoi!$B:$P,K$8,0)</f>
        <v xml:space="preserve">  </v>
      </c>
      <c r="L60" s="100" t="str">
        <f>VLOOKUP($B60,[1]XinMoi!$B:$P,L$8,0)</f>
        <v xml:space="preserve">  </v>
      </c>
      <c r="M60" s="100" t="str">
        <f>VLOOKUP($B60,[1]XinMoi!$B:$Z,M$8,0)</f>
        <v xml:space="preserve">  </v>
      </c>
      <c r="N60" s="89">
        <f t="shared" si="1"/>
        <v>0</v>
      </c>
      <c r="O60" s="89">
        <f t="shared" si="2"/>
        <v>1</v>
      </c>
    </row>
    <row r="61" spans="1:15" ht="20.100000000000001" hidden="1" customHeight="1">
      <c r="A61" s="88" t="str">
        <f>[1]XinMoi!A73</f>
        <v>0</v>
      </c>
      <c r="B61" s="98">
        <v>53</v>
      </c>
      <c r="C61" s="99">
        <f>VLOOKUP($B61,[1]XinMoi!$B:$J,C$8,0)</f>
        <v>0</v>
      </c>
      <c r="D61" s="100">
        <f>VLOOKUP($B61,[1]XinMoi!$B:$P,D$8,0)</f>
        <v>0</v>
      </c>
      <c r="E61" s="101">
        <f>VLOOKUP($B61,[1]XinMoi!$B:$P,E$8,0)</f>
        <v>0</v>
      </c>
      <c r="F61" s="102">
        <f>VLOOKUP($B61,[1]XinMoi!$B:$P,F$8,0)</f>
        <v>0</v>
      </c>
      <c r="G61" s="100">
        <f>VLOOKUP($B61,[1]XinMoi!$B:$P,G$8,0)</f>
        <v>0</v>
      </c>
      <c r="H61" s="100">
        <f>VLOOKUP($B61,[1]XinMoi!$B:$P,H$8,0)</f>
        <v>0</v>
      </c>
      <c r="I61" s="100">
        <f>VLOOKUP($B61,[1]XinMoi!$B:$P,I$8,0)</f>
        <v>0</v>
      </c>
      <c r="J61" s="100">
        <f>VLOOKUP($B61,[1]XinMoi!$B:$P,J$8,0)</f>
        <v>0</v>
      </c>
      <c r="K61" s="100" t="str">
        <f>VLOOKUP($B61,[1]XinMoi!$B:$P,K$8,0)</f>
        <v xml:space="preserve">  </v>
      </c>
      <c r="L61" s="100" t="str">
        <f>VLOOKUP($B61,[1]XinMoi!$B:$P,L$8,0)</f>
        <v xml:space="preserve">  </v>
      </c>
      <c r="M61" s="100" t="str">
        <f>VLOOKUP($B61,[1]XinMoi!$B:$Z,M$8,0)</f>
        <v xml:space="preserve">  </v>
      </c>
      <c r="N61" s="89">
        <f t="shared" si="1"/>
        <v>0</v>
      </c>
      <c r="O61" s="89">
        <f t="shared" si="2"/>
        <v>1</v>
      </c>
    </row>
    <row r="62" spans="1:15" ht="20.100000000000001" hidden="1" customHeight="1">
      <c r="A62" s="88" t="str">
        <f>[1]XinMoi!A74</f>
        <v>0</v>
      </c>
      <c r="B62" s="98">
        <v>54</v>
      </c>
      <c r="C62" s="99">
        <f>VLOOKUP($B62,[1]XinMoi!$B:$J,C$8,0)</f>
        <v>0</v>
      </c>
      <c r="D62" s="100">
        <f>VLOOKUP($B62,[1]XinMoi!$B:$P,D$8,0)</f>
        <v>0</v>
      </c>
      <c r="E62" s="101">
        <f>VLOOKUP($B62,[1]XinMoi!$B:$P,E$8,0)</f>
        <v>0</v>
      </c>
      <c r="F62" s="102">
        <f>VLOOKUP($B62,[1]XinMoi!$B:$P,F$8,0)</f>
        <v>0</v>
      </c>
      <c r="G62" s="100">
        <f>VLOOKUP($B62,[1]XinMoi!$B:$P,G$8,0)</f>
        <v>0</v>
      </c>
      <c r="H62" s="100">
        <f>VLOOKUP($B62,[1]XinMoi!$B:$P,H$8,0)</f>
        <v>0</v>
      </c>
      <c r="I62" s="100">
        <f>VLOOKUP($B62,[1]XinMoi!$B:$P,I$8,0)</f>
        <v>0</v>
      </c>
      <c r="J62" s="100">
        <f>VLOOKUP($B62,[1]XinMoi!$B:$P,J$8,0)</f>
        <v>0</v>
      </c>
      <c r="K62" s="100" t="str">
        <f>VLOOKUP($B62,[1]XinMoi!$B:$P,K$8,0)</f>
        <v xml:space="preserve">  </v>
      </c>
      <c r="L62" s="100" t="str">
        <f>VLOOKUP($B62,[1]XinMoi!$B:$P,L$8,0)</f>
        <v xml:space="preserve">  </v>
      </c>
      <c r="M62" s="100" t="str">
        <f>VLOOKUP($B62,[1]XinMoi!$B:$Z,M$8,0)</f>
        <v xml:space="preserve">  </v>
      </c>
      <c r="N62" s="89">
        <f t="shared" si="1"/>
        <v>0</v>
      </c>
      <c r="O62" s="89">
        <f t="shared" si="2"/>
        <v>1</v>
      </c>
    </row>
    <row r="63" spans="1:15" ht="20.100000000000001" hidden="1" customHeight="1">
      <c r="A63" s="88" t="str">
        <f>[1]XinMoi!A75</f>
        <v>0</v>
      </c>
      <c r="B63" s="98">
        <v>55</v>
      </c>
      <c r="C63" s="99">
        <f>VLOOKUP($B63,[1]XinMoi!$B:$J,C$8,0)</f>
        <v>0</v>
      </c>
      <c r="D63" s="100">
        <f>VLOOKUP($B63,[1]XinMoi!$B:$P,D$8,0)</f>
        <v>0</v>
      </c>
      <c r="E63" s="101">
        <f>VLOOKUP($B63,[1]XinMoi!$B:$P,E$8,0)</f>
        <v>0</v>
      </c>
      <c r="F63" s="102">
        <f>VLOOKUP($B63,[1]XinMoi!$B:$P,F$8,0)</f>
        <v>0</v>
      </c>
      <c r="G63" s="100">
        <f>VLOOKUP($B63,[1]XinMoi!$B:$P,G$8,0)</f>
        <v>0</v>
      </c>
      <c r="H63" s="100">
        <f>VLOOKUP($B63,[1]XinMoi!$B:$P,H$8,0)</f>
        <v>0</v>
      </c>
      <c r="I63" s="100">
        <f>VLOOKUP($B63,[1]XinMoi!$B:$P,I$8,0)</f>
        <v>0</v>
      </c>
      <c r="J63" s="100">
        <f>VLOOKUP($B63,[1]XinMoi!$B:$P,J$8,0)</f>
        <v>0</v>
      </c>
      <c r="K63" s="100" t="str">
        <f>VLOOKUP($B63,[1]XinMoi!$B:$P,K$8,0)</f>
        <v xml:space="preserve">  </v>
      </c>
      <c r="L63" s="100" t="str">
        <f>VLOOKUP($B63,[1]XinMoi!$B:$P,L$8,0)</f>
        <v xml:space="preserve">  </v>
      </c>
      <c r="M63" s="100" t="str">
        <f>VLOOKUP($B63,[1]XinMoi!$B:$Z,M$8,0)</f>
        <v xml:space="preserve">  </v>
      </c>
      <c r="N63" s="89">
        <f t="shared" si="1"/>
        <v>0</v>
      </c>
      <c r="O63" s="89">
        <f t="shared" si="2"/>
        <v>1</v>
      </c>
    </row>
    <row r="64" spans="1:15" ht="20.100000000000001" hidden="1" customHeight="1">
      <c r="A64" s="88" t="str">
        <f>[1]XinMoi!A76</f>
        <v>0</v>
      </c>
      <c r="B64" s="98">
        <v>56</v>
      </c>
      <c r="C64" s="99">
        <f>VLOOKUP($B64,[1]XinMoi!$B:$J,C$8,0)</f>
        <v>0</v>
      </c>
      <c r="D64" s="100">
        <f>VLOOKUP($B64,[1]XinMoi!$B:$P,D$8,0)</f>
        <v>0</v>
      </c>
      <c r="E64" s="101">
        <f>VLOOKUP($B64,[1]XinMoi!$B:$P,E$8,0)</f>
        <v>0</v>
      </c>
      <c r="F64" s="102">
        <f>VLOOKUP($B64,[1]XinMoi!$B:$P,F$8,0)</f>
        <v>0</v>
      </c>
      <c r="G64" s="100">
        <f>VLOOKUP($B64,[1]XinMoi!$B:$P,G$8,0)</f>
        <v>0</v>
      </c>
      <c r="H64" s="100">
        <f>VLOOKUP($B64,[1]XinMoi!$B:$P,H$8,0)</f>
        <v>0</v>
      </c>
      <c r="I64" s="100">
        <f>VLOOKUP($B64,[1]XinMoi!$B:$P,I$8,0)</f>
        <v>0</v>
      </c>
      <c r="J64" s="100">
        <f>VLOOKUP($B64,[1]XinMoi!$B:$P,J$8,0)</f>
        <v>0</v>
      </c>
      <c r="K64" s="100" t="str">
        <f>VLOOKUP($B64,[1]XinMoi!$B:$P,K$8,0)</f>
        <v xml:space="preserve">  </v>
      </c>
      <c r="L64" s="100" t="str">
        <f>VLOOKUP($B64,[1]XinMoi!$B:$P,L$8,0)</f>
        <v xml:space="preserve">  </v>
      </c>
      <c r="M64" s="100" t="str">
        <f>VLOOKUP($B64,[1]XinMoi!$B:$Z,M$8,0)</f>
        <v xml:space="preserve">  </v>
      </c>
      <c r="N64" s="89">
        <f t="shared" si="1"/>
        <v>0</v>
      </c>
      <c r="O64" s="89">
        <f t="shared" si="2"/>
        <v>1</v>
      </c>
    </row>
    <row r="65" spans="1:15" ht="20.100000000000001" hidden="1" customHeight="1">
      <c r="A65" s="88" t="str">
        <f>[1]XinMoi!A77</f>
        <v>0</v>
      </c>
      <c r="B65" s="98">
        <v>57</v>
      </c>
      <c r="C65" s="99">
        <f>VLOOKUP($B65,[1]XinMoi!$B:$J,C$8,0)</f>
        <v>0</v>
      </c>
      <c r="D65" s="100">
        <f>VLOOKUP($B65,[1]XinMoi!$B:$P,D$8,0)</f>
        <v>0</v>
      </c>
      <c r="E65" s="101">
        <f>VLOOKUP($B65,[1]XinMoi!$B:$P,E$8,0)</f>
        <v>0</v>
      </c>
      <c r="F65" s="102">
        <f>VLOOKUP($B65,[1]XinMoi!$B:$P,F$8,0)</f>
        <v>0</v>
      </c>
      <c r="G65" s="100">
        <f>VLOOKUP($B65,[1]XinMoi!$B:$P,G$8,0)</f>
        <v>0</v>
      </c>
      <c r="H65" s="100">
        <f>VLOOKUP($B65,[1]XinMoi!$B:$P,H$8,0)</f>
        <v>0</v>
      </c>
      <c r="I65" s="100">
        <f>VLOOKUP($B65,[1]XinMoi!$B:$P,I$8,0)</f>
        <v>0</v>
      </c>
      <c r="J65" s="100">
        <f>VLOOKUP($B65,[1]XinMoi!$B:$P,J$8,0)</f>
        <v>0</v>
      </c>
      <c r="K65" s="100" t="str">
        <f>VLOOKUP($B65,[1]XinMoi!$B:$P,K$8,0)</f>
        <v xml:space="preserve">  </v>
      </c>
      <c r="L65" s="100" t="str">
        <f>VLOOKUP($B65,[1]XinMoi!$B:$P,L$8,0)</f>
        <v xml:space="preserve">  </v>
      </c>
      <c r="M65" s="100" t="str">
        <f>VLOOKUP($B65,[1]XinMoi!$B:$Z,M$8,0)</f>
        <v xml:space="preserve">  </v>
      </c>
      <c r="N65" s="89">
        <f t="shared" si="1"/>
        <v>0</v>
      </c>
      <c r="O65" s="89">
        <f t="shared" si="2"/>
        <v>1</v>
      </c>
    </row>
    <row r="66" spans="1:15" ht="18" hidden="1" customHeight="1">
      <c r="A66" s="88" t="str">
        <f>[1]XinMoi!A78</f>
        <v>0</v>
      </c>
      <c r="B66" s="98">
        <v>58</v>
      </c>
      <c r="C66" s="99">
        <f>VLOOKUP($B66,[1]XinMoi!$B:$J,C$8,0)</f>
        <v>0</v>
      </c>
      <c r="D66" s="100">
        <f>VLOOKUP($B66,[1]XinMoi!$B:$P,D$8,0)</f>
        <v>0</v>
      </c>
      <c r="E66" s="101">
        <f>VLOOKUP($B66,[1]XinMoi!$B:$P,E$8,0)</f>
        <v>0</v>
      </c>
      <c r="F66" s="102">
        <f>VLOOKUP($B66,[1]XinMoi!$B:$P,F$8,0)</f>
        <v>0</v>
      </c>
      <c r="G66" s="100">
        <f>VLOOKUP($B66,[1]XinMoi!$B:$P,G$8,0)</f>
        <v>0</v>
      </c>
      <c r="H66" s="100">
        <f>VLOOKUP($B66,[1]XinMoi!$B:$P,H$8,0)</f>
        <v>0</v>
      </c>
      <c r="I66" s="100">
        <f>VLOOKUP($B66,[1]XinMoi!$B:$P,I$8,0)</f>
        <v>0</v>
      </c>
      <c r="J66" s="100">
        <f>VLOOKUP($B66,[1]XinMoi!$B:$P,J$8,0)</f>
        <v>0</v>
      </c>
      <c r="K66" s="100" t="str">
        <f>VLOOKUP($B66,[1]XinMoi!$B:$P,K$8,0)</f>
        <v xml:space="preserve">  </v>
      </c>
      <c r="L66" s="100" t="str">
        <f>VLOOKUP($B66,[1]XinMoi!$B:$P,L$8,0)</f>
        <v xml:space="preserve">  </v>
      </c>
      <c r="M66" s="100" t="str">
        <f>VLOOKUP($B66,[1]XinMoi!$B:$Z,M$8,0)</f>
        <v xml:space="preserve">  </v>
      </c>
      <c r="N66" s="89">
        <f t="shared" si="1"/>
        <v>0</v>
      </c>
      <c r="O66" s="89">
        <f t="shared" si="2"/>
        <v>1</v>
      </c>
    </row>
    <row r="67" spans="1:15" ht="18" hidden="1" customHeight="1">
      <c r="A67" s="88" t="str">
        <f>[1]XinMoi!A79</f>
        <v>0</v>
      </c>
      <c r="B67" s="98">
        <v>59</v>
      </c>
      <c r="C67" s="99">
        <f>VLOOKUP($B67,[1]XinMoi!$B:$J,C$8,0)</f>
        <v>0</v>
      </c>
      <c r="D67" s="100">
        <f>VLOOKUP($B67,[1]XinMoi!$B:$P,D$8,0)</f>
        <v>0</v>
      </c>
      <c r="E67" s="101">
        <f>VLOOKUP($B67,[1]XinMoi!$B:$P,E$8,0)</f>
        <v>0</v>
      </c>
      <c r="F67" s="102">
        <f>VLOOKUP($B67,[1]XinMoi!$B:$P,F$8,0)</f>
        <v>0</v>
      </c>
      <c r="G67" s="100">
        <f>VLOOKUP($B67,[1]XinMoi!$B:$P,G$8,0)</f>
        <v>0</v>
      </c>
      <c r="H67" s="100">
        <f>VLOOKUP($B67,[1]XinMoi!$B:$P,H$8,0)</f>
        <v>0</v>
      </c>
      <c r="I67" s="100">
        <f>VLOOKUP($B67,[1]XinMoi!$B:$P,I$8,0)</f>
        <v>0</v>
      </c>
      <c r="J67" s="100">
        <f>VLOOKUP($B67,[1]XinMoi!$B:$P,J$8,0)</f>
        <v>0</v>
      </c>
      <c r="K67" s="100" t="str">
        <f>VLOOKUP($B67,[1]XinMoi!$B:$P,K$8,0)</f>
        <v xml:space="preserve">  </v>
      </c>
      <c r="L67" s="100" t="str">
        <f>VLOOKUP($B67,[1]XinMoi!$B:$P,L$8,0)</f>
        <v xml:space="preserve">  </v>
      </c>
      <c r="M67" s="100" t="str">
        <f>VLOOKUP($B67,[1]XinMoi!$B:$Z,M$8,0)</f>
        <v xml:space="preserve">  </v>
      </c>
      <c r="N67" s="89">
        <f t="shared" si="1"/>
        <v>0</v>
      </c>
      <c r="O67" s="89">
        <f t="shared" si="2"/>
        <v>1</v>
      </c>
    </row>
    <row r="68" spans="1:15" ht="18" hidden="1" customHeight="1">
      <c r="A68" s="88" t="str">
        <f>[1]XinMoi!A80</f>
        <v>0</v>
      </c>
      <c r="B68" s="98">
        <v>60</v>
      </c>
      <c r="C68" s="99">
        <f>VLOOKUP($B68,[1]XinMoi!$B:$J,C$8,0)</f>
        <v>0</v>
      </c>
      <c r="D68" s="100">
        <f>VLOOKUP($B68,[1]XinMoi!$B:$P,D$8,0)</f>
        <v>0</v>
      </c>
      <c r="E68" s="101">
        <f>VLOOKUP($B68,[1]XinMoi!$B:$P,E$8,0)</f>
        <v>0</v>
      </c>
      <c r="F68" s="102">
        <f>VLOOKUP($B68,[1]XinMoi!$B:$P,F$8,0)</f>
        <v>0</v>
      </c>
      <c r="G68" s="100">
        <f>VLOOKUP($B68,[1]XinMoi!$B:$P,G$8,0)</f>
        <v>0</v>
      </c>
      <c r="H68" s="100">
        <f>VLOOKUP($B68,[1]XinMoi!$B:$P,H$8,0)</f>
        <v>0</v>
      </c>
      <c r="I68" s="100">
        <f>VLOOKUP($B68,[1]XinMoi!$B:$P,I$8,0)</f>
        <v>0</v>
      </c>
      <c r="J68" s="100">
        <f>VLOOKUP($B68,[1]XinMoi!$B:$P,J$8,0)</f>
        <v>0</v>
      </c>
      <c r="K68" s="100" t="str">
        <f>VLOOKUP($B68,[1]XinMoi!$B:$P,K$8,0)</f>
        <v xml:space="preserve">  </v>
      </c>
      <c r="L68" s="100" t="str">
        <f>VLOOKUP($B68,[1]XinMoi!$B:$P,L$8,0)</f>
        <v xml:space="preserve">  </v>
      </c>
      <c r="M68" s="100" t="str">
        <f>VLOOKUP($B68,[1]XinMoi!$B:$Z,M$8,0)</f>
        <v xml:space="preserve">  </v>
      </c>
      <c r="N68" s="89">
        <f t="shared" si="1"/>
        <v>0</v>
      </c>
      <c r="O68" s="89">
        <f t="shared" si="2"/>
        <v>1</v>
      </c>
    </row>
    <row r="69" spans="1:15" ht="18" hidden="1" customHeight="1">
      <c r="A69" s="88" t="str">
        <f>[1]XinMoi!A81</f>
        <v>0</v>
      </c>
      <c r="B69" s="98">
        <v>61</v>
      </c>
      <c r="C69" s="99">
        <f>VLOOKUP($B69,[1]XinMoi!$B:$J,C$8,0)</f>
        <v>0</v>
      </c>
      <c r="D69" s="100">
        <f>VLOOKUP($B69,[1]XinMoi!$B:$P,D$8,0)</f>
        <v>0</v>
      </c>
      <c r="E69" s="101">
        <f>VLOOKUP($B69,[1]XinMoi!$B:$P,E$8,0)</f>
        <v>0</v>
      </c>
      <c r="F69" s="102">
        <f>VLOOKUP($B69,[1]XinMoi!$B:$P,F$8,0)</f>
        <v>0</v>
      </c>
      <c r="G69" s="100">
        <f>VLOOKUP($B69,[1]XinMoi!$B:$P,G$8,0)</f>
        <v>0</v>
      </c>
      <c r="H69" s="100">
        <f>VLOOKUP($B69,[1]XinMoi!$B:$P,H$8,0)</f>
        <v>0</v>
      </c>
      <c r="I69" s="100">
        <f>VLOOKUP($B69,[1]XinMoi!$B:$P,I$8,0)</f>
        <v>0</v>
      </c>
      <c r="J69" s="100">
        <f>VLOOKUP($B69,[1]XinMoi!$B:$P,J$8,0)</f>
        <v>0</v>
      </c>
      <c r="K69" s="100" t="str">
        <f>VLOOKUP($B69,[1]XinMoi!$B:$P,K$8,0)</f>
        <v xml:space="preserve">  </v>
      </c>
      <c r="L69" s="100" t="str">
        <f>VLOOKUP($B69,[1]XinMoi!$B:$P,L$8,0)</f>
        <v xml:space="preserve">  </v>
      </c>
      <c r="M69" s="100" t="str">
        <f>VLOOKUP($B69,[1]XinMoi!$B:$Z,M$8,0)</f>
        <v xml:space="preserve">  </v>
      </c>
      <c r="N69" s="89">
        <f t="shared" si="1"/>
        <v>0</v>
      </c>
      <c r="O69" s="89">
        <f t="shared" si="2"/>
        <v>1</v>
      </c>
    </row>
    <row r="70" spans="1:15" ht="18" hidden="1" customHeight="1">
      <c r="A70" s="88" t="str">
        <f>[1]XinMoi!A82</f>
        <v>0</v>
      </c>
      <c r="B70" s="98">
        <v>62</v>
      </c>
      <c r="C70" s="99">
        <f>VLOOKUP($B70,[1]XinMoi!$B:$J,C$8,0)</f>
        <v>0</v>
      </c>
      <c r="D70" s="100">
        <f>VLOOKUP($B70,[1]XinMoi!$B:$P,D$8,0)</f>
        <v>0</v>
      </c>
      <c r="E70" s="101">
        <f>VLOOKUP($B70,[1]XinMoi!$B:$P,E$8,0)</f>
        <v>0</v>
      </c>
      <c r="F70" s="102">
        <f>VLOOKUP($B70,[1]XinMoi!$B:$P,F$8,0)</f>
        <v>0</v>
      </c>
      <c r="G70" s="100">
        <f>VLOOKUP($B70,[1]XinMoi!$B:$P,G$8,0)</f>
        <v>0</v>
      </c>
      <c r="H70" s="100">
        <f>VLOOKUP($B70,[1]XinMoi!$B:$P,H$8,0)</f>
        <v>0</v>
      </c>
      <c r="I70" s="100">
        <f>VLOOKUP($B70,[1]XinMoi!$B:$P,I$8,0)</f>
        <v>0</v>
      </c>
      <c r="J70" s="100">
        <f>VLOOKUP($B70,[1]XinMoi!$B:$P,J$8,0)</f>
        <v>0</v>
      </c>
      <c r="K70" s="100" t="str">
        <f>VLOOKUP($B70,[1]XinMoi!$B:$P,K$8,0)</f>
        <v xml:space="preserve">  </v>
      </c>
      <c r="L70" s="100" t="str">
        <f>VLOOKUP($B70,[1]XinMoi!$B:$P,L$8,0)</f>
        <v xml:space="preserve">  </v>
      </c>
      <c r="M70" s="100" t="str">
        <f>VLOOKUP($B70,[1]XinMoi!$B:$Z,M$8,0)</f>
        <v xml:space="preserve">  </v>
      </c>
      <c r="N70" s="89">
        <f t="shared" si="1"/>
        <v>0</v>
      </c>
      <c r="O70" s="89">
        <f t="shared" si="2"/>
        <v>1</v>
      </c>
    </row>
    <row r="71" spans="1:15" ht="18" hidden="1" customHeight="1">
      <c r="A71" s="88" t="str">
        <f>[1]XinMoi!A83</f>
        <v>0</v>
      </c>
      <c r="B71" s="98">
        <v>63</v>
      </c>
      <c r="C71" s="99">
        <f>VLOOKUP($B71,[1]XinMoi!$B:$J,C$8,0)</f>
        <v>0</v>
      </c>
      <c r="D71" s="100">
        <f>VLOOKUP($B71,[1]XinMoi!$B:$P,D$8,0)</f>
        <v>0</v>
      </c>
      <c r="E71" s="101">
        <f>VLOOKUP($B71,[1]XinMoi!$B:$P,E$8,0)</f>
        <v>0</v>
      </c>
      <c r="F71" s="102">
        <f>VLOOKUP($B71,[1]XinMoi!$B:$P,F$8,0)</f>
        <v>0</v>
      </c>
      <c r="G71" s="100">
        <f>VLOOKUP($B71,[1]XinMoi!$B:$P,G$8,0)</f>
        <v>0</v>
      </c>
      <c r="H71" s="100">
        <f>VLOOKUP($B71,[1]XinMoi!$B:$P,H$8,0)</f>
        <v>0</v>
      </c>
      <c r="I71" s="100">
        <f>VLOOKUP($B71,[1]XinMoi!$B:$P,I$8,0)</f>
        <v>0</v>
      </c>
      <c r="J71" s="100">
        <f>VLOOKUP($B71,[1]XinMoi!$B:$P,J$8,0)</f>
        <v>0</v>
      </c>
      <c r="K71" s="100" t="str">
        <f>VLOOKUP($B71,[1]XinMoi!$B:$P,K$8,0)</f>
        <v xml:space="preserve">  </v>
      </c>
      <c r="L71" s="100" t="str">
        <f>VLOOKUP($B71,[1]XinMoi!$B:$P,L$8,0)</f>
        <v xml:space="preserve">  </v>
      </c>
      <c r="M71" s="100" t="str">
        <f>VLOOKUP($B71,[1]XinMoi!$B:$Z,M$8,0)</f>
        <v xml:space="preserve">  </v>
      </c>
      <c r="N71" s="89">
        <f t="shared" si="1"/>
        <v>0</v>
      </c>
      <c r="O71" s="89">
        <f t="shared" si="2"/>
        <v>1</v>
      </c>
    </row>
    <row r="72" spans="1:15" ht="18" hidden="1" customHeight="1">
      <c r="A72" s="88" t="str">
        <f>[1]XinMoi!A84</f>
        <v>0</v>
      </c>
      <c r="B72" s="98">
        <v>64</v>
      </c>
      <c r="C72" s="99">
        <f>VLOOKUP($B72,[1]XinMoi!$B:$J,C$8,0)</f>
        <v>0</v>
      </c>
      <c r="D72" s="100">
        <f>VLOOKUP($B72,[1]XinMoi!$B:$P,D$8,0)</f>
        <v>0</v>
      </c>
      <c r="E72" s="101">
        <f>VLOOKUP($B72,[1]XinMoi!$B:$P,E$8,0)</f>
        <v>0</v>
      </c>
      <c r="F72" s="102">
        <f>VLOOKUP($B72,[1]XinMoi!$B:$P,F$8,0)</f>
        <v>0</v>
      </c>
      <c r="G72" s="100">
        <f>VLOOKUP($B72,[1]XinMoi!$B:$P,G$8,0)</f>
        <v>0</v>
      </c>
      <c r="H72" s="100">
        <f>VLOOKUP($B72,[1]XinMoi!$B:$P,H$8,0)</f>
        <v>0</v>
      </c>
      <c r="I72" s="100">
        <f>VLOOKUP($B72,[1]XinMoi!$B:$P,I$8,0)</f>
        <v>0</v>
      </c>
      <c r="J72" s="100">
        <f>VLOOKUP($B72,[1]XinMoi!$B:$P,J$8,0)</f>
        <v>0</v>
      </c>
      <c r="K72" s="100" t="str">
        <f>VLOOKUP($B72,[1]XinMoi!$B:$P,K$8,0)</f>
        <v xml:space="preserve">  </v>
      </c>
      <c r="L72" s="100" t="str">
        <f>VLOOKUP($B72,[1]XinMoi!$B:$P,L$8,0)</f>
        <v xml:space="preserve">  </v>
      </c>
      <c r="M72" s="100" t="str">
        <f>VLOOKUP($B72,[1]XinMoi!$B:$Z,M$8,0)</f>
        <v xml:space="preserve">  </v>
      </c>
      <c r="N72" s="89">
        <f t="shared" si="1"/>
        <v>0</v>
      </c>
      <c r="O72" s="89">
        <f t="shared" si="2"/>
        <v>1</v>
      </c>
    </row>
    <row r="73" spans="1:15" ht="18" hidden="1" customHeight="1">
      <c r="A73" s="88" t="str">
        <f>[1]XinMoi!A85</f>
        <v>0</v>
      </c>
      <c r="B73" s="98">
        <v>65</v>
      </c>
      <c r="C73" s="99">
        <f>VLOOKUP($B73,[1]XinMoi!$B:$J,C$8,0)</f>
        <v>0</v>
      </c>
      <c r="D73" s="100">
        <f>VLOOKUP($B73,[1]XinMoi!$B:$P,D$8,0)</f>
        <v>0</v>
      </c>
      <c r="E73" s="101">
        <f>VLOOKUP($B73,[1]XinMoi!$B:$P,E$8,0)</f>
        <v>0</v>
      </c>
      <c r="F73" s="102">
        <f>VLOOKUP($B73,[1]XinMoi!$B:$P,F$8,0)</f>
        <v>0</v>
      </c>
      <c r="G73" s="100">
        <f>VLOOKUP($B73,[1]XinMoi!$B:$P,G$8,0)</f>
        <v>0</v>
      </c>
      <c r="H73" s="100">
        <f>VLOOKUP($B73,[1]XinMoi!$B:$P,H$8,0)</f>
        <v>0</v>
      </c>
      <c r="I73" s="100">
        <f>VLOOKUP($B73,[1]XinMoi!$B:$P,I$8,0)</f>
        <v>0</v>
      </c>
      <c r="J73" s="100">
        <f>VLOOKUP($B73,[1]XinMoi!$B:$P,J$8,0)</f>
        <v>0</v>
      </c>
      <c r="K73" s="100" t="str">
        <f>VLOOKUP($B73,[1]XinMoi!$B:$P,K$8,0)</f>
        <v xml:space="preserve">  </v>
      </c>
      <c r="L73" s="100" t="str">
        <f>VLOOKUP($B73,[1]XinMoi!$B:$P,L$8,0)</f>
        <v xml:space="preserve">  </v>
      </c>
      <c r="M73" s="100" t="str">
        <f>VLOOKUP($B73,[1]XinMoi!$B:$Z,M$8,0)</f>
        <v xml:space="preserve">  </v>
      </c>
      <c r="N73" s="89">
        <f t="shared" si="1"/>
        <v>0</v>
      </c>
      <c r="O73" s="89">
        <f t="shared" si="2"/>
        <v>1</v>
      </c>
    </row>
    <row r="74" spans="1:15" ht="18" hidden="1" customHeight="1">
      <c r="A74" s="88" t="str">
        <f>[1]XinMoi!A86</f>
        <v>0</v>
      </c>
      <c r="B74" s="98">
        <v>66</v>
      </c>
      <c r="C74" s="99">
        <f>VLOOKUP($B74,[1]XinMoi!$B:$J,C$8,0)</f>
        <v>0</v>
      </c>
      <c r="D74" s="100">
        <f>VLOOKUP($B74,[1]XinMoi!$B:$P,D$8,0)</f>
        <v>0</v>
      </c>
      <c r="E74" s="101">
        <f>VLOOKUP($B74,[1]XinMoi!$B:$P,E$8,0)</f>
        <v>0</v>
      </c>
      <c r="F74" s="102">
        <f>VLOOKUP($B74,[1]XinMoi!$B:$P,F$8,0)</f>
        <v>0</v>
      </c>
      <c r="G74" s="100">
        <f>VLOOKUP($B74,[1]XinMoi!$B:$P,G$8,0)</f>
        <v>0</v>
      </c>
      <c r="H74" s="100">
        <f>VLOOKUP($B74,[1]XinMoi!$B:$P,H$8,0)</f>
        <v>0</v>
      </c>
      <c r="I74" s="100">
        <f>VLOOKUP($B74,[1]XinMoi!$B:$P,I$8,0)</f>
        <v>0</v>
      </c>
      <c r="J74" s="100">
        <f>VLOOKUP($B74,[1]XinMoi!$B:$P,J$8,0)</f>
        <v>0</v>
      </c>
      <c r="K74" s="100" t="str">
        <f>VLOOKUP($B74,[1]XinMoi!$B:$P,K$8,0)</f>
        <v xml:space="preserve">  </v>
      </c>
      <c r="L74" s="100" t="str">
        <f>VLOOKUP($B74,[1]XinMoi!$B:$P,L$8,0)</f>
        <v xml:space="preserve">  </v>
      </c>
      <c r="M74" s="100" t="str">
        <f>VLOOKUP($B74,[1]XinMoi!$B:$Z,M$8,0)</f>
        <v xml:space="preserve">  </v>
      </c>
      <c r="N74" s="89">
        <f t="shared" ref="N74:N132" si="3">IF(OR(G74&gt;0,H74&gt;0,I74&gt;0),1,0)</f>
        <v>0</v>
      </c>
      <c r="O74" s="89">
        <f t="shared" si="2"/>
        <v>1</v>
      </c>
    </row>
    <row r="75" spans="1:15" ht="18" hidden="1" customHeight="1">
      <c r="A75" s="88" t="str">
        <f>[1]XinMoi!A87</f>
        <v>0</v>
      </c>
      <c r="B75" s="98">
        <v>67</v>
      </c>
      <c r="C75" s="99">
        <f>VLOOKUP($B75,[1]XinMoi!$B:$J,C$8,0)</f>
        <v>0</v>
      </c>
      <c r="D75" s="100">
        <f>VLOOKUP($B75,[1]XinMoi!$B:$P,D$8,0)</f>
        <v>0</v>
      </c>
      <c r="E75" s="101">
        <f>VLOOKUP($B75,[1]XinMoi!$B:$P,E$8,0)</f>
        <v>0</v>
      </c>
      <c r="F75" s="102">
        <f>VLOOKUP($B75,[1]XinMoi!$B:$P,F$8,0)</f>
        <v>0</v>
      </c>
      <c r="G75" s="100">
        <f>VLOOKUP($B75,[1]XinMoi!$B:$P,G$8,0)</f>
        <v>0</v>
      </c>
      <c r="H75" s="100">
        <f>VLOOKUP($B75,[1]XinMoi!$B:$P,H$8,0)</f>
        <v>0</v>
      </c>
      <c r="I75" s="100">
        <f>VLOOKUP($B75,[1]XinMoi!$B:$P,I$8,0)</f>
        <v>0</v>
      </c>
      <c r="J75" s="100">
        <f>VLOOKUP($B75,[1]XinMoi!$B:$P,J$8,0)</f>
        <v>0</v>
      </c>
      <c r="K75" s="100" t="str">
        <f>VLOOKUP($B75,[1]XinMoi!$B:$P,K$8,0)</f>
        <v xml:space="preserve">  </v>
      </c>
      <c r="L75" s="100" t="str">
        <f>VLOOKUP($B75,[1]XinMoi!$B:$P,L$8,0)</f>
        <v xml:space="preserve">  </v>
      </c>
      <c r="M75" s="100" t="str">
        <f>VLOOKUP($B75,[1]XinMoi!$B:$Z,M$8,0)</f>
        <v xml:space="preserve">  </v>
      </c>
      <c r="N75" s="89">
        <f t="shared" si="3"/>
        <v>0</v>
      </c>
      <c r="O75" s="89">
        <f t="shared" ref="O75:O132" si="4">B75-B74</f>
        <v>1</v>
      </c>
    </row>
    <row r="76" spans="1:15" ht="18" hidden="1" customHeight="1">
      <c r="A76" s="88" t="str">
        <f>[1]XinMoi!A88</f>
        <v>0</v>
      </c>
      <c r="B76" s="98">
        <v>68</v>
      </c>
      <c r="C76" s="99">
        <f>VLOOKUP($B76,[1]XinMoi!$B:$J,C$8,0)</f>
        <v>0</v>
      </c>
      <c r="D76" s="100">
        <f>VLOOKUP($B76,[1]XinMoi!$B:$P,D$8,0)</f>
        <v>0</v>
      </c>
      <c r="E76" s="101">
        <f>VLOOKUP($B76,[1]XinMoi!$B:$P,E$8,0)</f>
        <v>0</v>
      </c>
      <c r="F76" s="102">
        <f>VLOOKUP($B76,[1]XinMoi!$B:$P,F$8,0)</f>
        <v>0</v>
      </c>
      <c r="G76" s="100">
        <f>VLOOKUP($B76,[1]XinMoi!$B:$P,G$8,0)</f>
        <v>0</v>
      </c>
      <c r="H76" s="100">
        <f>VLOOKUP($B76,[1]XinMoi!$B:$P,H$8,0)</f>
        <v>0</v>
      </c>
      <c r="I76" s="100">
        <f>VLOOKUP($B76,[1]XinMoi!$B:$P,I$8,0)</f>
        <v>0</v>
      </c>
      <c r="J76" s="100">
        <f>VLOOKUP($B76,[1]XinMoi!$B:$P,J$8,0)</f>
        <v>0</v>
      </c>
      <c r="K76" s="100" t="str">
        <f>VLOOKUP($B76,[1]XinMoi!$B:$P,K$8,0)</f>
        <v xml:space="preserve">  </v>
      </c>
      <c r="L76" s="100" t="str">
        <f>VLOOKUP($B76,[1]XinMoi!$B:$P,L$8,0)</f>
        <v xml:space="preserve">  </v>
      </c>
      <c r="M76" s="100" t="str">
        <f>VLOOKUP($B76,[1]XinMoi!$B:$Z,M$8,0)</f>
        <v xml:space="preserve">  </v>
      </c>
      <c r="N76" s="89">
        <f t="shared" si="3"/>
        <v>0</v>
      </c>
      <c r="O76" s="89">
        <f t="shared" si="4"/>
        <v>1</v>
      </c>
    </row>
    <row r="77" spans="1:15" ht="18" hidden="1" customHeight="1">
      <c r="A77" s="88" t="str">
        <f>[1]XinMoi!A89</f>
        <v>0</v>
      </c>
      <c r="B77" s="98">
        <v>69</v>
      </c>
      <c r="C77" s="99">
        <f>VLOOKUP($B77,[1]XinMoi!$B:$J,C$8,0)</f>
        <v>0</v>
      </c>
      <c r="D77" s="100">
        <f>VLOOKUP($B77,[1]XinMoi!$B:$P,D$8,0)</f>
        <v>0</v>
      </c>
      <c r="E77" s="101">
        <f>VLOOKUP($B77,[1]XinMoi!$B:$P,E$8,0)</f>
        <v>0</v>
      </c>
      <c r="F77" s="102">
        <f>VLOOKUP($B77,[1]XinMoi!$B:$P,F$8,0)</f>
        <v>0</v>
      </c>
      <c r="G77" s="100">
        <f>VLOOKUP($B77,[1]XinMoi!$B:$P,G$8,0)</f>
        <v>0</v>
      </c>
      <c r="H77" s="100">
        <f>VLOOKUP($B77,[1]XinMoi!$B:$P,H$8,0)</f>
        <v>0</v>
      </c>
      <c r="I77" s="100">
        <f>VLOOKUP($B77,[1]XinMoi!$B:$P,I$8,0)</f>
        <v>0</v>
      </c>
      <c r="J77" s="100">
        <f>VLOOKUP($B77,[1]XinMoi!$B:$P,J$8,0)</f>
        <v>0</v>
      </c>
      <c r="K77" s="100" t="str">
        <f>VLOOKUP($B77,[1]XinMoi!$B:$P,K$8,0)</f>
        <v xml:space="preserve">  </v>
      </c>
      <c r="L77" s="100" t="str">
        <f>VLOOKUP($B77,[1]XinMoi!$B:$P,L$8,0)</f>
        <v xml:space="preserve">  </v>
      </c>
      <c r="M77" s="100" t="str">
        <f>VLOOKUP($B77,[1]XinMoi!$B:$Z,M$8,0)</f>
        <v xml:space="preserve">  </v>
      </c>
      <c r="N77" s="89">
        <f t="shared" si="3"/>
        <v>0</v>
      </c>
      <c r="O77" s="89">
        <f t="shared" si="4"/>
        <v>1</v>
      </c>
    </row>
    <row r="78" spans="1:15" ht="18" hidden="1" customHeight="1">
      <c r="A78" s="88" t="str">
        <f>[1]XinMoi!A90</f>
        <v>0</v>
      </c>
      <c r="B78" s="98">
        <v>70</v>
      </c>
      <c r="C78" s="99">
        <f>VLOOKUP($B78,[1]XinMoi!$B:$J,C$8,0)</f>
        <v>0</v>
      </c>
      <c r="D78" s="100">
        <f>VLOOKUP($B78,[1]XinMoi!$B:$P,D$8,0)</f>
        <v>0</v>
      </c>
      <c r="E78" s="101">
        <f>VLOOKUP($B78,[1]XinMoi!$B:$P,E$8,0)</f>
        <v>0</v>
      </c>
      <c r="F78" s="102">
        <f>VLOOKUP($B78,[1]XinMoi!$B:$P,F$8,0)</f>
        <v>0</v>
      </c>
      <c r="G78" s="100">
        <f>VLOOKUP($B78,[1]XinMoi!$B:$P,G$8,0)</f>
        <v>0</v>
      </c>
      <c r="H78" s="100">
        <f>VLOOKUP($B78,[1]XinMoi!$B:$P,H$8,0)</f>
        <v>0</v>
      </c>
      <c r="I78" s="100">
        <f>VLOOKUP($B78,[1]XinMoi!$B:$P,I$8,0)</f>
        <v>0</v>
      </c>
      <c r="J78" s="100">
        <f>VLOOKUP($B78,[1]XinMoi!$B:$P,J$8,0)</f>
        <v>0</v>
      </c>
      <c r="K78" s="100" t="str">
        <f>VLOOKUP($B78,[1]XinMoi!$B:$P,K$8,0)</f>
        <v xml:space="preserve">  </v>
      </c>
      <c r="L78" s="100" t="str">
        <f>VLOOKUP($B78,[1]XinMoi!$B:$P,L$8,0)</f>
        <v xml:space="preserve">  </v>
      </c>
      <c r="M78" s="100" t="str">
        <f>VLOOKUP($B78,[1]XinMoi!$B:$Z,M$8,0)</f>
        <v xml:space="preserve">  </v>
      </c>
      <c r="N78" s="89">
        <f t="shared" si="3"/>
        <v>0</v>
      </c>
      <c r="O78" s="89">
        <f t="shared" si="4"/>
        <v>1</v>
      </c>
    </row>
    <row r="79" spans="1:15" ht="18" hidden="1" customHeight="1">
      <c r="A79" s="88" t="str">
        <f>[1]XinMoi!A91</f>
        <v>0</v>
      </c>
      <c r="B79" s="98">
        <v>71</v>
      </c>
      <c r="C79" s="99">
        <f>VLOOKUP($B79,[1]XinMoi!$B:$J,C$8,0)</f>
        <v>0</v>
      </c>
      <c r="D79" s="100">
        <f>VLOOKUP($B79,[1]XinMoi!$B:$P,D$8,0)</f>
        <v>0</v>
      </c>
      <c r="E79" s="101">
        <f>VLOOKUP($B79,[1]XinMoi!$B:$P,E$8,0)</f>
        <v>0</v>
      </c>
      <c r="F79" s="102">
        <f>VLOOKUP($B79,[1]XinMoi!$B:$P,F$8,0)</f>
        <v>0</v>
      </c>
      <c r="G79" s="100">
        <f>VLOOKUP($B79,[1]XinMoi!$B:$P,G$8,0)</f>
        <v>0</v>
      </c>
      <c r="H79" s="100">
        <f>VLOOKUP($B79,[1]XinMoi!$B:$P,H$8,0)</f>
        <v>0</v>
      </c>
      <c r="I79" s="100">
        <f>VLOOKUP($B79,[1]XinMoi!$B:$P,I$8,0)</f>
        <v>0</v>
      </c>
      <c r="J79" s="100">
        <f>VLOOKUP($B79,[1]XinMoi!$B:$P,J$8,0)</f>
        <v>0</v>
      </c>
      <c r="K79" s="100" t="str">
        <f>VLOOKUP($B79,[1]XinMoi!$B:$P,K$8,0)</f>
        <v xml:space="preserve">  </v>
      </c>
      <c r="L79" s="100" t="str">
        <f>VLOOKUP($B79,[1]XinMoi!$B:$P,L$8,0)</f>
        <v xml:space="preserve">  </v>
      </c>
      <c r="M79" s="100" t="str">
        <f>VLOOKUP($B79,[1]XinMoi!$B:$Z,M$8,0)</f>
        <v xml:space="preserve">  </v>
      </c>
      <c r="N79" s="89">
        <f t="shared" si="3"/>
        <v>0</v>
      </c>
      <c r="O79" s="89">
        <f t="shared" si="4"/>
        <v>1</v>
      </c>
    </row>
    <row r="80" spans="1:15" ht="18" hidden="1" customHeight="1">
      <c r="A80" s="88" t="str">
        <f>[1]XinMoi!A92</f>
        <v>0</v>
      </c>
      <c r="B80" s="98">
        <v>72</v>
      </c>
      <c r="C80" s="99">
        <f>VLOOKUP($B80,[1]XinMoi!$B:$J,C$8,0)</f>
        <v>0</v>
      </c>
      <c r="D80" s="100">
        <f>VLOOKUP($B80,[1]XinMoi!$B:$P,D$8,0)</f>
        <v>0</v>
      </c>
      <c r="E80" s="101">
        <f>VLOOKUP($B80,[1]XinMoi!$B:$P,E$8,0)</f>
        <v>0</v>
      </c>
      <c r="F80" s="102">
        <f>VLOOKUP($B80,[1]XinMoi!$B:$P,F$8,0)</f>
        <v>0</v>
      </c>
      <c r="G80" s="100">
        <f>VLOOKUP($B80,[1]XinMoi!$B:$P,G$8,0)</f>
        <v>0</v>
      </c>
      <c r="H80" s="100">
        <f>VLOOKUP($B80,[1]XinMoi!$B:$P,H$8,0)</f>
        <v>0</v>
      </c>
      <c r="I80" s="100">
        <f>VLOOKUP($B80,[1]XinMoi!$B:$P,I$8,0)</f>
        <v>0</v>
      </c>
      <c r="J80" s="100">
        <f>VLOOKUP($B80,[1]XinMoi!$B:$P,J$8,0)</f>
        <v>0</v>
      </c>
      <c r="K80" s="100" t="str">
        <f>VLOOKUP($B80,[1]XinMoi!$B:$P,K$8,0)</f>
        <v xml:space="preserve">  </v>
      </c>
      <c r="L80" s="100" t="str">
        <f>VLOOKUP($B80,[1]XinMoi!$B:$P,L$8,0)</f>
        <v xml:space="preserve">  </v>
      </c>
      <c r="M80" s="100" t="str">
        <f>VLOOKUP($B80,[1]XinMoi!$B:$Z,M$8,0)</f>
        <v xml:space="preserve">  </v>
      </c>
      <c r="N80" s="89">
        <f t="shared" si="3"/>
        <v>0</v>
      </c>
      <c r="O80" s="89">
        <f t="shared" si="4"/>
        <v>1</v>
      </c>
    </row>
    <row r="81" spans="1:15" ht="18" hidden="1" customHeight="1">
      <c r="A81" s="88" t="str">
        <f>[1]XinMoi!A93</f>
        <v>0</v>
      </c>
      <c r="B81" s="98">
        <v>73</v>
      </c>
      <c r="C81" s="99">
        <f>VLOOKUP($B81,[1]XinMoi!$B:$J,C$8,0)</f>
        <v>0</v>
      </c>
      <c r="D81" s="100">
        <f>VLOOKUP($B81,[1]XinMoi!$B:$P,D$8,0)</f>
        <v>0</v>
      </c>
      <c r="E81" s="101">
        <f>VLOOKUP($B81,[1]XinMoi!$B:$P,E$8,0)</f>
        <v>0</v>
      </c>
      <c r="F81" s="102">
        <f>VLOOKUP($B81,[1]XinMoi!$B:$P,F$8,0)</f>
        <v>0</v>
      </c>
      <c r="G81" s="100">
        <f>VLOOKUP($B81,[1]XinMoi!$B:$P,G$8,0)</f>
        <v>0</v>
      </c>
      <c r="H81" s="100">
        <f>VLOOKUP($B81,[1]XinMoi!$B:$P,H$8,0)</f>
        <v>0</v>
      </c>
      <c r="I81" s="100">
        <f>VLOOKUP($B81,[1]XinMoi!$B:$P,I$8,0)</f>
        <v>0</v>
      </c>
      <c r="J81" s="100">
        <f>VLOOKUP($B81,[1]XinMoi!$B:$P,J$8,0)</f>
        <v>0</v>
      </c>
      <c r="K81" s="100" t="str">
        <f>VLOOKUP($B81,[1]XinMoi!$B:$P,K$8,0)</f>
        <v xml:space="preserve">  </v>
      </c>
      <c r="L81" s="100" t="str">
        <f>VLOOKUP($B81,[1]XinMoi!$B:$P,L$8,0)</f>
        <v xml:space="preserve">  </v>
      </c>
      <c r="M81" s="100" t="str">
        <f>VLOOKUP($B81,[1]XinMoi!$B:$Z,M$8,0)</f>
        <v xml:space="preserve">  </v>
      </c>
      <c r="N81" s="89">
        <f t="shared" si="3"/>
        <v>0</v>
      </c>
      <c r="O81" s="89">
        <f t="shared" si="4"/>
        <v>1</v>
      </c>
    </row>
    <row r="82" spans="1:15" ht="18" hidden="1" customHeight="1">
      <c r="A82" s="88" t="str">
        <f>[1]XinMoi!A94</f>
        <v>0</v>
      </c>
      <c r="B82" s="98">
        <v>74</v>
      </c>
      <c r="C82" s="99">
        <f>VLOOKUP($B82,[1]XinMoi!$B:$J,C$8,0)</f>
        <v>0</v>
      </c>
      <c r="D82" s="100">
        <f>VLOOKUP($B82,[1]XinMoi!$B:$P,D$8,0)</f>
        <v>0</v>
      </c>
      <c r="E82" s="101">
        <f>VLOOKUP($B82,[1]XinMoi!$B:$P,E$8,0)</f>
        <v>0</v>
      </c>
      <c r="F82" s="102">
        <f>VLOOKUP($B82,[1]XinMoi!$B:$P,F$8,0)</f>
        <v>0</v>
      </c>
      <c r="G82" s="100">
        <f>VLOOKUP($B82,[1]XinMoi!$B:$P,G$8,0)</f>
        <v>0</v>
      </c>
      <c r="H82" s="100">
        <f>VLOOKUP($B82,[1]XinMoi!$B:$P,H$8,0)</f>
        <v>0</v>
      </c>
      <c r="I82" s="100">
        <f>VLOOKUP($B82,[1]XinMoi!$B:$P,I$8,0)</f>
        <v>0</v>
      </c>
      <c r="J82" s="100">
        <f>VLOOKUP($B82,[1]XinMoi!$B:$P,J$8,0)</f>
        <v>0</v>
      </c>
      <c r="K82" s="100" t="str">
        <f>VLOOKUP($B82,[1]XinMoi!$B:$P,K$8,0)</f>
        <v xml:space="preserve">  </v>
      </c>
      <c r="L82" s="100" t="str">
        <f>VLOOKUP($B82,[1]XinMoi!$B:$P,L$8,0)</f>
        <v xml:space="preserve">  </v>
      </c>
      <c r="M82" s="100" t="str">
        <f>VLOOKUP($B82,[1]XinMoi!$B:$Z,M$8,0)</f>
        <v xml:space="preserve">  </v>
      </c>
      <c r="N82" s="89">
        <f t="shared" si="3"/>
        <v>0</v>
      </c>
      <c r="O82" s="89">
        <f t="shared" si="4"/>
        <v>1</v>
      </c>
    </row>
    <row r="83" spans="1:15" ht="18" hidden="1" customHeight="1">
      <c r="A83" s="88" t="str">
        <f>[1]XinMoi!A95</f>
        <v>0</v>
      </c>
      <c r="B83" s="98">
        <v>75</v>
      </c>
      <c r="C83" s="99">
        <f>VLOOKUP($B83,[1]XinMoi!$B:$J,C$8,0)</f>
        <v>0</v>
      </c>
      <c r="D83" s="100">
        <f>VLOOKUP($B83,[1]XinMoi!$B:$P,D$8,0)</f>
        <v>0</v>
      </c>
      <c r="E83" s="101">
        <f>VLOOKUP($B83,[1]XinMoi!$B:$P,E$8,0)</f>
        <v>0</v>
      </c>
      <c r="F83" s="102">
        <f>VLOOKUP($B83,[1]XinMoi!$B:$P,F$8,0)</f>
        <v>0</v>
      </c>
      <c r="G83" s="100">
        <f>VLOOKUP($B83,[1]XinMoi!$B:$P,G$8,0)</f>
        <v>0</v>
      </c>
      <c r="H83" s="100">
        <f>VLOOKUP($B83,[1]XinMoi!$B:$P,H$8,0)</f>
        <v>0</v>
      </c>
      <c r="I83" s="100">
        <f>VLOOKUP($B83,[1]XinMoi!$B:$P,I$8,0)</f>
        <v>0</v>
      </c>
      <c r="J83" s="100">
        <f>VLOOKUP($B83,[1]XinMoi!$B:$P,J$8,0)</f>
        <v>0</v>
      </c>
      <c r="K83" s="100" t="str">
        <f>VLOOKUP($B83,[1]XinMoi!$B:$P,K$8,0)</f>
        <v xml:space="preserve">  </v>
      </c>
      <c r="L83" s="100" t="str">
        <f>VLOOKUP($B83,[1]XinMoi!$B:$P,L$8,0)</f>
        <v xml:space="preserve">  </v>
      </c>
      <c r="M83" s="100" t="str">
        <f>VLOOKUP($B83,[1]XinMoi!$B:$Z,M$8,0)</f>
        <v xml:space="preserve">  </v>
      </c>
      <c r="N83" s="89">
        <f t="shared" si="3"/>
        <v>0</v>
      </c>
      <c r="O83" s="89">
        <f t="shared" si="4"/>
        <v>1</v>
      </c>
    </row>
    <row r="84" spans="1:15" ht="18" hidden="1" customHeight="1">
      <c r="A84" s="88" t="str">
        <f>[1]XinMoi!A96</f>
        <v>0</v>
      </c>
      <c r="B84" s="98">
        <v>76</v>
      </c>
      <c r="C84" s="99">
        <f>VLOOKUP($B84,[1]XinMoi!$B:$J,C$8,0)</f>
        <v>0</v>
      </c>
      <c r="D84" s="100">
        <f>VLOOKUP($B84,[1]XinMoi!$B:$P,D$8,0)</f>
        <v>0</v>
      </c>
      <c r="E84" s="101">
        <f>VLOOKUP($B84,[1]XinMoi!$B:$P,E$8,0)</f>
        <v>0</v>
      </c>
      <c r="F84" s="102">
        <f>VLOOKUP($B84,[1]XinMoi!$B:$P,F$8,0)</f>
        <v>0</v>
      </c>
      <c r="G84" s="100">
        <f>VLOOKUP($B84,[1]XinMoi!$B:$P,G$8,0)</f>
        <v>0</v>
      </c>
      <c r="H84" s="100">
        <f>VLOOKUP($B84,[1]XinMoi!$B:$P,H$8,0)</f>
        <v>0</v>
      </c>
      <c r="I84" s="100">
        <f>VLOOKUP($B84,[1]XinMoi!$B:$P,I$8,0)</f>
        <v>0</v>
      </c>
      <c r="J84" s="100">
        <f>VLOOKUP($B84,[1]XinMoi!$B:$P,J$8,0)</f>
        <v>0</v>
      </c>
      <c r="K84" s="100" t="str">
        <f>VLOOKUP($B84,[1]XinMoi!$B:$P,K$8,0)</f>
        <v xml:space="preserve">  </v>
      </c>
      <c r="L84" s="100" t="str">
        <f>VLOOKUP($B84,[1]XinMoi!$B:$P,L$8,0)</f>
        <v xml:space="preserve">  </v>
      </c>
      <c r="M84" s="100" t="str">
        <f>VLOOKUP($B84,[1]XinMoi!$B:$Z,M$8,0)</f>
        <v xml:space="preserve">  </v>
      </c>
      <c r="N84" s="89">
        <f t="shared" si="3"/>
        <v>0</v>
      </c>
      <c r="O84" s="89">
        <f t="shared" si="4"/>
        <v>1</v>
      </c>
    </row>
    <row r="85" spans="1:15" ht="18" hidden="1" customHeight="1">
      <c r="A85" s="88" t="str">
        <f>[1]XinMoi!A97</f>
        <v>0</v>
      </c>
      <c r="B85" s="98">
        <v>77</v>
      </c>
      <c r="C85" s="99">
        <f>VLOOKUP($B85,[1]XinMoi!$B:$J,C$8,0)</f>
        <v>0</v>
      </c>
      <c r="D85" s="100">
        <f>VLOOKUP($B85,[1]XinMoi!$B:$P,D$8,0)</f>
        <v>0</v>
      </c>
      <c r="E85" s="101">
        <f>VLOOKUP($B85,[1]XinMoi!$B:$P,E$8,0)</f>
        <v>0</v>
      </c>
      <c r="F85" s="102">
        <f>VLOOKUP($B85,[1]XinMoi!$B:$P,F$8,0)</f>
        <v>0</v>
      </c>
      <c r="G85" s="100">
        <f>VLOOKUP($B85,[1]XinMoi!$B:$P,G$8,0)</f>
        <v>0</v>
      </c>
      <c r="H85" s="100">
        <f>VLOOKUP($B85,[1]XinMoi!$B:$P,H$8,0)</f>
        <v>0</v>
      </c>
      <c r="I85" s="100">
        <f>VLOOKUP($B85,[1]XinMoi!$B:$P,I$8,0)</f>
        <v>0</v>
      </c>
      <c r="J85" s="100">
        <f>VLOOKUP($B85,[1]XinMoi!$B:$P,J$8,0)</f>
        <v>0</v>
      </c>
      <c r="K85" s="100" t="str">
        <f>VLOOKUP($B85,[1]XinMoi!$B:$P,K$8,0)</f>
        <v xml:space="preserve">  </v>
      </c>
      <c r="L85" s="100" t="str">
        <f>VLOOKUP($B85,[1]XinMoi!$B:$P,L$8,0)</f>
        <v xml:space="preserve">  </v>
      </c>
      <c r="M85" s="100" t="str">
        <f>VLOOKUP($B85,[1]XinMoi!$B:$Z,M$8,0)</f>
        <v xml:space="preserve">  </v>
      </c>
      <c r="N85" s="89">
        <f t="shared" si="3"/>
        <v>0</v>
      </c>
      <c r="O85" s="89">
        <f t="shared" si="4"/>
        <v>1</v>
      </c>
    </row>
    <row r="86" spans="1:15" ht="18" hidden="1" customHeight="1">
      <c r="A86" s="88" t="str">
        <f>[1]XinMoi!A98</f>
        <v>0</v>
      </c>
      <c r="B86" s="98">
        <v>78</v>
      </c>
      <c r="C86" s="99">
        <f>VLOOKUP($B86,[1]XinMoi!$B:$J,C$8,0)</f>
        <v>0</v>
      </c>
      <c r="D86" s="100">
        <f>VLOOKUP($B86,[1]XinMoi!$B:$P,D$8,0)</f>
        <v>0</v>
      </c>
      <c r="E86" s="101">
        <f>VLOOKUP($B86,[1]XinMoi!$B:$P,E$8,0)</f>
        <v>0</v>
      </c>
      <c r="F86" s="102">
        <f>VLOOKUP($B86,[1]XinMoi!$B:$P,F$8,0)</f>
        <v>0</v>
      </c>
      <c r="G86" s="100">
        <f>VLOOKUP($B86,[1]XinMoi!$B:$P,G$8,0)</f>
        <v>0</v>
      </c>
      <c r="H86" s="100">
        <f>VLOOKUP($B86,[1]XinMoi!$B:$P,H$8,0)</f>
        <v>0</v>
      </c>
      <c r="I86" s="100">
        <f>VLOOKUP($B86,[1]XinMoi!$B:$P,I$8,0)</f>
        <v>0</v>
      </c>
      <c r="J86" s="100">
        <f>VLOOKUP($B86,[1]XinMoi!$B:$P,J$8,0)</f>
        <v>0</v>
      </c>
      <c r="K86" s="100" t="str">
        <f>VLOOKUP($B86,[1]XinMoi!$B:$P,K$8,0)</f>
        <v xml:space="preserve">  </v>
      </c>
      <c r="L86" s="100" t="str">
        <f>VLOOKUP($B86,[1]XinMoi!$B:$P,L$8,0)</f>
        <v xml:space="preserve">  </v>
      </c>
      <c r="M86" s="100" t="str">
        <f>VLOOKUP($B86,[1]XinMoi!$B:$Z,M$8,0)</f>
        <v xml:space="preserve">  </v>
      </c>
      <c r="N86" s="89">
        <f t="shared" si="3"/>
        <v>0</v>
      </c>
      <c r="O86" s="89">
        <f t="shared" si="4"/>
        <v>1</v>
      </c>
    </row>
    <row r="87" spans="1:15" ht="18" hidden="1" customHeight="1">
      <c r="A87" s="88" t="str">
        <f>[1]XinMoi!A99</f>
        <v>0</v>
      </c>
      <c r="B87" s="98">
        <v>79</v>
      </c>
      <c r="C87" s="99">
        <f>VLOOKUP($B87,[1]XinMoi!$B:$J,C$8,0)</f>
        <v>0</v>
      </c>
      <c r="D87" s="100">
        <f>VLOOKUP($B87,[1]XinMoi!$B:$P,D$8,0)</f>
        <v>0</v>
      </c>
      <c r="E87" s="101">
        <f>VLOOKUP($B87,[1]XinMoi!$B:$P,E$8,0)</f>
        <v>0</v>
      </c>
      <c r="F87" s="102">
        <f>VLOOKUP($B87,[1]XinMoi!$B:$P,F$8,0)</f>
        <v>0</v>
      </c>
      <c r="G87" s="100">
        <f>VLOOKUP($B87,[1]XinMoi!$B:$P,G$8,0)</f>
        <v>0</v>
      </c>
      <c r="H87" s="100">
        <f>VLOOKUP($B87,[1]XinMoi!$B:$P,H$8,0)</f>
        <v>0</v>
      </c>
      <c r="I87" s="100">
        <f>VLOOKUP($B87,[1]XinMoi!$B:$P,I$8,0)</f>
        <v>0</v>
      </c>
      <c r="J87" s="100">
        <f>VLOOKUP($B87,[1]XinMoi!$B:$P,J$8,0)</f>
        <v>0</v>
      </c>
      <c r="K87" s="100" t="str">
        <f>VLOOKUP($B87,[1]XinMoi!$B:$P,K$8,0)</f>
        <v xml:space="preserve">  </v>
      </c>
      <c r="L87" s="100" t="str">
        <f>VLOOKUP($B87,[1]XinMoi!$B:$P,L$8,0)</f>
        <v xml:space="preserve">  </v>
      </c>
      <c r="M87" s="100" t="str">
        <f>VLOOKUP($B87,[1]XinMoi!$B:$Z,M$8,0)</f>
        <v xml:space="preserve">  </v>
      </c>
      <c r="N87" s="89">
        <f t="shared" si="3"/>
        <v>0</v>
      </c>
      <c r="O87" s="89">
        <f t="shared" si="4"/>
        <v>1</v>
      </c>
    </row>
    <row r="88" spans="1:15" ht="18" hidden="1" customHeight="1">
      <c r="A88" s="88" t="str">
        <f>[1]XinMoi!A100</f>
        <v>0</v>
      </c>
      <c r="B88" s="98">
        <v>80</v>
      </c>
      <c r="C88" s="99">
        <f>VLOOKUP($B88,[1]XinMoi!$B:$J,C$8,0)</f>
        <v>0</v>
      </c>
      <c r="D88" s="100">
        <f>VLOOKUP($B88,[1]XinMoi!$B:$P,D$8,0)</f>
        <v>0</v>
      </c>
      <c r="E88" s="101">
        <f>VLOOKUP($B88,[1]XinMoi!$B:$P,E$8,0)</f>
        <v>0</v>
      </c>
      <c r="F88" s="102">
        <f>VLOOKUP($B88,[1]XinMoi!$B:$P,F$8,0)</f>
        <v>0</v>
      </c>
      <c r="G88" s="100">
        <f>VLOOKUP($B88,[1]XinMoi!$B:$P,G$8,0)</f>
        <v>0</v>
      </c>
      <c r="H88" s="100">
        <f>VLOOKUP($B88,[1]XinMoi!$B:$P,H$8,0)</f>
        <v>0</v>
      </c>
      <c r="I88" s="100">
        <f>VLOOKUP($B88,[1]XinMoi!$B:$P,I$8,0)</f>
        <v>0</v>
      </c>
      <c r="J88" s="100">
        <f>VLOOKUP($B88,[1]XinMoi!$B:$P,J$8,0)</f>
        <v>0</v>
      </c>
      <c r="K88" s="100" t="str">
        <f>VLOOKUP($B88,[1]XinMoi!$B:$P,K$8,0)</f>
        <v xml:space="preserve">  </v>
      </c>
      <c r="L88" s="100" t="str">
        <f>VLOOKUP($B88,[1]XinMoi!$B:$P,L$8,0)</f>
        <v xml:space="preserve">  </v>
      </c>
      <c r="M88" s="100" t="str">
        <f>VLOOKUP($B88,[1]XinMoi!$B:$Z,M$8,0)</f>
        <v xml:space="preserve">  </v>
      </c>
      <c r="N88" s="89">
        <f t="shared" si="3"/>
        <v>0</v>
      </c>
      <c r="O88" s="89">
        <f t="shared" si="4"/>
        <v>1</v>
      </c>
    </row>
    <row r="89" spans="1:15" ht="18" hidden="1" customHeight="1">
      <c r="A89" s="88" t="str">
        <f>[1]XinMoi!A101</f>
        <v>0</v>
      </c>
      <c r="B89" s="98">
        <v>81</v>
      </c>
      <c r="C89" s="99">
        <f>VLOOKUP($B89,[1]XinMoi!$B:$J,C$8,0)</f>
        <v>0</v>
      </c>
      <c r="D89" s="100">
        <f>VLOOKUP($B89,[1]XinMoi!$B:$P,D$8,0)</f>
        <v>0</v>
      </c>
      <c r="E89" s="101">
        <f>VLOOKUP($B89,[1]XinMoi!$B:$P,E$8,0)</f>
        <v>0</v>
      </c>
      <c r="F89" s="102">
        <f>VLOOKUP($B89,[1]XinMoi!$B:$P,F$8,0)</f>
        <v>0</v>
      </c>
      <c r="G89" s="100">
        <f>VLOOKUP($B89,[1]XinMoi!$B:$P,G$8,0)</f>
        <v>0</v>
      </c>
      <c r="H89" s="100">
        <f>VLOOKUP($B89,[1]XinMoi!$B:$P,H$8,0)</f>
        <v>0</v>
      </c>
      <c r="I89" s="100">
        <f>VLOOKUP($B89,[1]XinMoi!$B:$P,I$8,0)</f>
        <v>0</v>
      </c>
      <c r="J89" s="100">
        <f>VLOOKUP($B89,[1]XinMoi!$B:$P,J$8,0)</f>
        <v>0</v>
      </c>
      <c r="K89" s="100" t="str">
        <f>VLOOKUP($B89,[1]XinMoi!$B:$P,K$8,0)</f>
        <v xml:space="preserve">  </v>
      </c>
      <c r="L89" s="100" t="str">
        <f>VLOOKUP($B89,[1]XinMoi!$B:$P,L$8,0)</f>
        <v xml:space="preserve">  </v>
      </c>
      <c r="M89" s="100" t="str">
        <f>VLOOKUP($B89,[1]XinMoi!$B:$Z,M$8,0)</f>
        <v xml:space="preserve">  </v>
      </c>
      <c r="N89" s="89">
        <f t="shared" si="3"/>
        <v>0</v>
      </c>
      <c r="O89" s="89">
        <f t="shared" si="4"/>
        <v>1</v>
      </c>
    </row>
    <row r="90" spans="1:15" ht="18" hidden="1" customHeight="1">
      <c r="A90" s="88" t="str">
        <f>[1]XinMoi!A102</f>
        <v>0</v>
      </c>
      <c r="B90" s="98">
        <v>82</v>
      </c>
      <c r="C90" s="99">
        <f>VLOOKUP($B90,[1]XinMoi!$B:$J,C$8,0)</f>
        <v>0</v>
      </c>
      <c r="D90" s="100">
        <f>VLOOKUP($B90,[1]XinMoi!$B:$P,D$8,0)</f>
        <v>0</v>
      </c>
      <c r="E90" s="101">
        <f>VLOOKUP($B90,[1]XinMoi!$B:$P,E$8,0)</f>
        <v>0</v>
      </c>
      <c r="F90" s="102">
        <f>VLOOKUP($B90,[1]XinMoi!$B:$P,F$8,0)</f>
        <v>0</v>
      </c>
      <c r="G90" s="100">
        <f>VLOOKUP($B90,[1]XinMoi!$B:$P,G$8,0)</f>
        <v>0</v>
      </c>
      <c r="H90" s="100">
        <f>VLOOKUP($B90,[1]XinMoi!$B:$P,H$8,0)</f>
        <v>0</v>
      </c>
      <c r="I90" s="100">
        <f>VLOOKUP($B90,[1]XinMoi!$B:$P,I$8,0)</f>
        <v>0</v>
      </c>
      <c r="J90" s="100">
        <f>VLOOKUP($B90,[1]XinMoi!$B:$P,J$8,0)</f>
        <v>0</v>
      </c>
      <c r="K90" s="100" t="str">
        <f>VLOOKUP($B90,[1]XinMoi!$B:$P,K$8,0)</f>
        <v xml:space="preserve">  </v>
      </c>
      <c r="L90" s="100" t="str">
        <f>VLOOKUP($B90,[1]XinMoi!$B:$P,L$8,0)</f>
        <v xml:space="preserve">  </v>
      </c>
      <c r="M90" s="100" t="str">
        <f>VLOOKUP($B90,[1]XinMoi!$B:$Z,M$8,0)</f>
        <v xml:space="preserve">  </v>
      </c>
      <c r="N90" s="89">
        <f t="shared" si="3"/>
        <v>0</v>
      </c>
      <c r="O90" s="89">
        <f t="shared" si="4"/>
        <v>1</v>
      </c>
    </row>
    <row r="91" spans="1:15" ht="18" hidden="1" customHeight="1">
      <c r="A91" s="88" t="str">
        <f>[1]XinMoi!A103</f>
        <v>0</v>
      </c>
      <c r="B91" s="98">
        <v>83</v>
      </c>
      <c r="C91" s="99">
        <f>VLOOKUP($B91,[1]XinMoi!$B:$J,C$8,0)</f>
        <v>0</v>
      </c>
      <c r="D91" s="100">
        <f>VLOOKUP($B91,[1]XinMoi!$B:$P,D$8,0)</f>
        <v>0</v>
      </c>
      <c r="E91" s="101">
        <f>VLOOKUP($B91,[1]XinMoi!$B:$P,E$8,0)</f>
        <v>0</v>
      </c>
      <c r="F91" s="102">
        <f>VLOOKUP($B91,[1]XinMoi!$B:$P,F$8,0)</f>
        <v>0</v>
      </c>
      <c r="G91" s="100">
        <f>VLOOKUP($B91,[1]XinMoi!$B:$P,G$8,0)</f>
        <v>0</v>
      </c>
      <c r="H91" s="100">
        <f>VLOOKUP($B91,[1]XinMoi!$B:$P,H$8,0)</f>
        <v>0</v>
      </c>
      <c r="I91" s="100">
        <f>VLOOKUP($B91,[1]XinMoi!$B:$P,I$8,0)</f>
        <v>0</v>
      </c>
      <c r="J91" s="100">
        <f>VLOOKUP($B91,[1]XinMoi!$B:$P,J$8,0)</f>
        <v>0</v>
      </c>
      <c r="K91" s="100" t="str">
        <f>VLOOKUP($B91,[1]XinMoi!$B:$P,K$8,0)</f>
        <v xml:space="preserve">  </v>
      </c>
      <c r="L91" s="100" t="str">
        <f>VLOOKUP($B91,[1]XinMoi!$B:$P,L$8,0)</f>
        <v xml:space="preserve">  </v>
      </c>
      <c r="M91" s="100" t="str">
        <f>VLOOKUP($B91,[1]XinMoi!$B:$Z,M$8,0)</f>
        <v xml:space="preserve">  </v>
      </c>
      <c r="N91" s="89">
        <f t="shared" si="3"/>
        <v>0</v>
      </c>
      <c r="O91" s="89">
        <f t="shared" si="4"/>
        <v>1</v>
      </c>
    </row>
    <row r="92" spans="1:15" ht="18" hidden="1" customHeight="1">
      <c r="A92" s="88" t="str">
        <f>[1]XinMoi!A104</f>
        <v>0</v>
      </c>
      <c r="B92" s="98">
        <v>84</v>
      </c>
      <c r="C92" s="99">
        <f>VLOOKUP($B92,[1]XinMoi!$B:$J,C$8,0)</f>
        <v>0</v>
      </c>
      <c r="D92" s="100">
        <f>VLOOKUP($B92,[1]XinMoi!$B:$P,D$8,0)</f>
        <v>0</v>
      </c>
      <c r="E92" s="101">
        <f>VLOOKUP($B92,[1]XinMoi!$B:$P,E$8,0)</f>
        <v>0</v>
      </c>
      <c r="F92" s="102">
        <f>VLOOKUP($B92,[1]XinMoi!$B:$P,F$8,0)</f>
        <v>0</v>
      </c>
      <c r="G92" s="100">
        <f>VLOOKUP($B92,[1]XinMoi!$B:$P,G$8,0)</f>
        <v>0</v>
      </c>
      <c r="H92" s="100">
        <f>VLOOKUP($B92,[1]XinMoi!$B:$P,H$8,0)</f>
        <v>0</v>
      </c>
      <c r="I92" s="100">
        <f>VLOOKUP($B92,[1]XinMoi!$B:$P,I$8,0)</f>
        <v>0</v>
      </c>
      <c r="J92" s="100">
        <f>VLOOKUP($B92,[1]XinMoi!$B:$P,J$8,0)</f>
        <v>0</v>
      </c>
      <c r="K92" s="100" t="str">
        <f>VLOOKUP($B92,[1]XinMoi!$B:$P,K$8,0)</f>
        <v xml:space="preserve">  </v>
      </c>
      <c r="L92" s="100" t="str">
        <f>VLOOKUP($B92,[1]XinMoi!$B:$P,L$8,0)</f>
        <v xml:space="preserve">  </v>
      </c>
      <c r="M92" s="100" t="str">
        <f>VLOOKUP($B92,[1]XinMoi!$B:$Z,M$8,0)</f>
        <v xml:space="preserve">  </v>
      </c>
      <c r="N92" s="89">
        <f t="shared" si="3"/>
        <v>0</v>
      </c>
      <c r="O92" s="89">
        <f t="shared" si="4"/>
        <v>1</v>
      </c>
    </row>
    <row r="93" spans="1:15" ht="18" hidden="1" customHeight="1">
      <c r="A93" s="88" t="str">
        <f>[1]XinMoi!A105</f>
        <v>0</v>
      </c>
      <c r="B93" s="98">
        <v>85</v>
      </c>
      <c r="C93" s="99">
        <f>VLOOKUP($B93,[1]XinMoi!$B:$J,C$8,0)</f>
        <v>0</v>
      </c>
      <c r="D93" s="100">
        <f>VLOOKUP($B93,[1]XinMoi!$B:$P,D$8,0)</f>
        <v>0</v>
      </c>
      <c r="E93" s="101">
        <f>VLOOKUP($B93,[1]XinMoi!$B:$P,E$8,0)</f>
        <v>0</v>
      </c>
      <c r="F93" s="102">
        <f>VLOOKUP($B93,[1]XinMoi!$B:$P,F$8,0)</f>
        <v>0</v>
      </c>
      <c r="G93" s="100">
        <f>VLOOKUP($B93,[1]XinMoi!$B:$P,G$8,0)</f>
        <v>0</v>
      </c>
      <c r="H93" s="100">
        <f>VLOOKUP($B93,[1]XinMoi!$B:$P,H$8,0)</f>
        <v>0</v>
      </c>
      <c r="I93" s="100">
        <f>VLOOKUP($B93,[1]XinMoi!$B:$P,I$8,0)</f>
        <v>0</v>
      </c>
      <c r="J93" s="100">
        <f>VLOOKUP($B93,[1]XinMoi!$B:$P,J$8,0)</f>
        <v>0</v>
      </c>
      <c r="K93" s="100" t="str">
        <f>VLOOKUP($B93,[1]XinMoi!$B:$P,K$8,0)</f>
        <v xml:space="preserve">  </v>
      </c>
      <c r="L93" s="100" t="str">
        <f>VLOOKUP($B93,[1]XinMoi!$B:$P,L$8,0)</f>
        <v xml:space="preserve">  </v>
      </c>
      <c r="M93" s="100" t="str">
        <f>VLOOKUP($B93,[1]XinMoi!$B:$Z,M$8,0)</f>
        <v xml:space="preserve">  </v>
      </c>
      <c r="N93" s="89">
        <f t="shared" si="3"/>
        <v>0</v>
      </c>
      <c r="O93" s="89">
        <f t="shared" si="4"/>
        <v>1</v>
      </c>
    </row>
    <row r="94" spans="1:15" ht="18" hidden="1" customHeight="1">
      <c r="A94" s="88" t="str">
        <f>[1]XinMoi!A106</f>
        <v>0</v>
      </c>
      <c r="B94" s="98">
        <v>86</v>
      </c>
      <c r="C94" s="99">
        <f>VLOOKUP($B94,[1]XinMoi!$B:$J,C$8,0)</f>
        <v>0</v>
      </c>
      <c r="D94" s="100">
        <f>VLOOKUP($B94,[1]XinMoi!$B:$P,D$8,0)</f>
        <v>0</v>
      </c>
      <c r="E94" s="101">
        <f>VLOOKUP($B94,[1]XinMoi!$B:$P,E$8,0)</f>
        <v>0</v>
      </c>
      <c r="F94" s="102">
        <f>VLOOKUP($B94,[1]XinMoi!$B:$P,F$8,0)</f>
        <v>0</v>
      </c>
      <c r="G94" s="100">
        <f>VLOOKUP($B94,[1]XinMoi!$B:$P,G$8,0)</f>
        <v>0</v>
      </c>
      <c r="H94" s="100">
        <f>VLOOKUP($B94,[1]XinMoi!$B:$P,H$8,0)</f>
        <v>0</v>
      </c>
      <c r="I94" s="100">
        <f>VLOOKUP($B94,[1]XinMoi!$B:$P,I$8,0)</f>
        <v>0</v>
      </c>
      <c r="J94" s="100">
        <f>VLOOKUP($B94,[1]XinMoi!$B:$P,J$8,0)</f>
        <v>0</v>
      </c>
      <c r="K94" s="100" t="str">
        <f>VLOOKUP($B94,[1]XinMoi!$B:$P,K$8,0)</f>
        <v xml:space="preserve">  </v>
      </c>
      <c r="L94" s="100" t="str">
        <f>VLOOKUP($B94,[1]XinMoi!$B:$P,L$8,0)</f>
        <v xml:space="preserve">  </v>
      </c>
      <c r="M94" s="100" t="str">
        <f>VLOOKUP($B94,[1]XinMoi!$B:$Z,M$8,0)</f>
        <v xml:space="preserve">  </v>
      </c>
      <c r="N94" s="89">
        <f t="shared" si="3"/>
        <v>0</v>
      </c>
      <c r="O94" s="89">
        <f t="shared" si="4"/>
        <v>1</v>
      </c>
    </row>
    <row r="95" spans="1:15" ht="18" hidden="1" customHeight="1">
      <c r="A95" s="88" t="str">
        <f>[1]XinMoi!A107</f>
        <v>0</v>
      </c>
      <c r="B95" s="98">
        <v>87</v>
      </c>
      <c r="C95" s="99">
        <f>VLOOKUP($B95,[1]XinMoi!$B:$J,C$8,0)</f>
        <v>0</v>
      </c>
      <c r="D95" s="100">
        <f>VLOOKUP($B95,[1]XinMoi!$B:$P,D$8,0)</f>
        <v>0</v>
      </c>
      <c r="E95" s="101">
        <f>VLOOKUP($B95,[1]XinMoi!$B:$P,E$8,0)</f>
        <v>0</v>
      </c>
      <c r="F95" s="102">
        <f>VLOOKUP($B95,[1]XinMoi!$B:$P,F$8,0)</f>
        <v>0</v>
      </c>
      <c r="G95" s="100">
        <f>VLOOKUP($B95,[1]XinMoi!$B:$P,G$8,0)</f>
        <v>0</v>
      </c>
      <c r="H95" s="100">
        <f>VLOOKUP($B95,[1]XinMoi!$B:$P,H$8,0)</f>
        <v>0</v>
      </c>
      <c r="I95" s="100">
        <f>VLOOKUP($B95,[1]XinMoi!$B:$P,I$8,0)</f>
        <v>0</v>
      </c>
      <c r="J95" s="100">
        <f>VLOOKUP($B95,[1]XinMoi!$B:$P,J$8,0)</f>
        <v>0</v>
      </c>
      <c r="K95" s="100" t="str">
        <f>VLOOKUP($B95,[1]XinMoi!$B:$P,K$8,0)</f>
        <v xml:space="preserve">  </v>
      </c>
      <c r="L95" s="100" t="str">
        <f>VLOOKUP($B95,[1]XinMoi!$B:$P,L$8,0)</f>
        <v xml:space="preserve">  </v>
      </c>
      <c r="M95" s="100" t="str">
        <f>VLOOKUP($B95,[1]XinMoi!$B:$Z,M$8,0)</f>
        <v xml:space="preserve">  </v>
      </c>
      <c r="N95" s="89">
        <f t="shared" si="3"/>
        <v>0</v>
      </c>
      <c r="O95" s="89">
        <f t="shared" si="4"/>
        <v>1</v>
      </c>
    </row>
    <row r="96" spans="1:15" ht="18" hidden="1" customHeight="1">
      <c r="A96" s="88" t="str">
        <f>[1]XinMoi!A108</f>
        <v>0</v>
      </c>
      <c r="B96" s="98">
        <v>88</v>
      </c>
      <c r="C96" s="99">
        <f>VLOOKUP($B96,[1]XinMoi!$B:$J,C$8,0)</f>
        <v>0</v>
      </c>
      <c r="D96" s="100">
        <f>VLOOKUP($B96,[1]XinMoi!$B:$P,D$8,0)</f>
        <v>0</v>
      </c>
      <c r="E96" s="101">
        <f>VLOOKUP($B96,[1]XinMoi!$B:$P,E$8,0)</f>
        <v>0</v>
      </c>
      <c r="F96" s="102">
        <f>VLOOKUP($B96,[1]XinMoi!$B:$P,F$8,0)</f>
        <v>0</v>
      </c>
      <c r="G96" s="100">
        <f>VLOOKUP($B96,[1]XinMoi!$B:$P,G$8,0)</f>
        <v>0</v>
      </c>
      <c r="H96" s="100">
        <f>VLOOKUP($B96,[1]XinMoi!$B:$P,H$8,0)</f>
        <v>0</v>
      </c>
      <c r="I96" s="100">
        <f>VLOOKUP($B96,[1]XinMoi!$B:$P,I$8,0)</f>
        <v>0</v>
      </c>
      <c r="J96" s="100">
        <f>VLOOKUP($B96,[1]XinMoi!$B:$P,J$8,0)</f>
        <v>0</v>
      </c>
      <c r="K96" s="100" t="str">
        <f>VLOOKUP($B96,[1]XinMoi!$B:$P,K$8,0)</f>
        <v xml:space="preserve">  </v>
      </c>
      <c r="L96" s="100" t="str">
        <f>VLOOKUP($B96,[1]XinMoi!$B:$P,L$8,0)</f>
        <v xml:space="preserve">  </v>
      </c>
      <c r="M96" s="100" t="str">
        <f>VLOOKUP($B96,[1]XinMoi!$B:$Z,M$8,0)</f>
        <v xml:space="preserve">  </v>
      </c>
      <c r="N96" s="89">
        <f t="shared" si="3"/>
        <v>0</v>
      </c>
      <c r="O96" s="89">
        <f t="shared" si="4"/>
        <v>1</v>
      </c>
    </row>
    <row r="97" spans="1:15" ht="18" hidden="1" customHeight="1">
      <c r="A97" s="88" t="str">
        <f>[1]XinMoi!A109</f>
        <v>0</v>
      </c>
      <c r="B97" s="98">
        <v>89</v>
      </c>
      <c r="C97" s="99">
        <f>VLOOKUP($B97,[1]XinMoi!$B:$J,C$8,0)</f>
        <v>0</v>
      </c>
      <c r="D97" s="100">
        <f>VLOOKUP($B97,[1]XinMoi!$B:$P,D$8,0)</f>
        <v>0</v>
      </c>
      <c r="E97" s="101">
        <f>VLOOKUP($B97,[1]XinMoi!$B:$P,E$8,0)</f>
        <v>0</v>
      </c>
      <c r="F97" s="102">
        <f>VLOOKUP($B97,[1]XinMoi!$B:$P,F$8,0)</f>
        <v>0</v>
      </c>
      <c r="G97" s="100">
        <f>VLOOKUP($B97,[1]XinMoi!$B:$P,G$8,0)</f>
        <v>0</v>
      </c>
      <c r="H97" s="100">
        <f>VLOOKUP($B97,[1]XinMoi!$B:$P,H$8,0)</f>
        <v>0</v>
      </c>
      <c r="I97" s="100">
        <f>VLOOKUP($B97,[1]XinMoi!$B:$P,I$8,0)</f>
        <v>0</v>
      </c>
      <c r="J97" s="100">
        <f>VLOOKUP($B97,[1]XinMoi!$B:$P,J$8,0)</f>
        <v>0</v>
      </c>
      <c r="K97" s="100" t="str">
        <f>VLOOKUP($B97,[1]XinMoi!$B:$P,K$8,0)</f>
        <v xml:space="preserve">  </v>
      </c>
      <c r="L97" s="100" t="str">
        <f>VLOOKUP($B97,[1]XinMoi!$B:$P,L$8,0)</f>
        <v xml:space="preserve">  </v>
      </c>
      <c r="M97" s="100" t="str">
        <f>VLOOKUP($B97,[1]XinMoi!$B:$Z,M$8,0)</f>
        <v xml:space="preserve">  </v>
      </c>
      <c r="N97" s="89">
        <f t="shared" si="3"/>
        <v>0</v>
      </c>
      <c r="O97" s="89">
        <f t="shared" si="4"/>
        <v>1</v>
      </c>
    </row>
    <row r="98" spans="1:15" ht="18" hidden="1" customHeight="1">
      <c r="A98" s="88" t="str">
        <f>[1]XinMoi!A110</f>
        <v>0</v>
      </c>
      <c r="B98" s="98">
        <v>90</v>
      </c>
      <c r="C98" s="99">
        <f>VLOOKUP($B98,[1]XinMoi!$B:$J,C$8,0)</f>
        <v>0</v>
      </c>
      <c r="D98" s="100">
        <f>VLOOKUP($B98,[1]XinMoi!$B:$P,D$8,0)</f>
        <v>0</v>
      </c>
      <c r="E98" s="101">
        <f>VLOOKUP($B98,[1]XinMoi!$B:$P,E$8,0)</f>
        <v>0</v>
      </c>
      <c r="F98" s="102">
        <f>VLOOKUP($B98,[1]XinMoi!$B:$P,F$8,0)</f>
        <v>0</v>
      </c>
      <c r="G98" s="100">
        <f>VLOOKUP($B98,[1]XinMoi!$B:$P,G$8,0)</f>
        <v>0</v>
      </c>
      <c r="H98" s="100">
        <f>VLOOKUP($B98,[1]XinMoi!$B:$P,H$8,0)</f>
        <v>0</v>
      </c>
      <c r="I98" s="100">
        <f>VLOOKUP($B98,[1]XinMoi!$B:$P,I$8,0)</f>
        <v>0</v>
      </c>
      <c r="J98" s="100">
        <f>VLOOKUP($B98,[1]XinMoi!$B:$P,J$8,0)</f>
        <v>0</v>
      </c>
      <c r="K98" s="100" t="str">
        <f>VLOOKUP($B98,[1]XinMoi!$B:$P,K$8,0)</f>
        <v xml:space="preserve">  </v>
      </c>
      <c r="L98" s="100" t="str">
        <f>VLOOKUP($B98,[1]XinMoi!$B:$P,L$8,0)</f>
        <v xml:space="preserve">  </v>
      </c>
      <c r="M98" s="100" t="str">
        <f>VLOOKUP($B98,[1]XinMoi!$B:$Z,M$8,0)</f>
        <v xml:space="preserve">  </v>
      </c>
      <c r="N98" s="89">
        <f t="shared" si="3"/>
        <v>0</v>
      </c>
      <c r="O98" s="89">
        <f t="shared" si="4"/>
        <v>1</v>
      </c>
    </row>
    <row r="99" spans="1:15" ht="18" hidden="1" customHeight="1">
      <c r="A99" s="88" t="str">
        <f>[1]XinMoi!A111</f>
        <v>0</v>
      </c>
      <c r="B99" s="98">
        <v>91</v>
      </c>
      <c r="C99" s="99">
        <f>VLOOKUP($B99,[1]XinMoi!$B:$J,C$8,0)</f>
        <v>0</v>
      </c>
      <c r="D99" s="100">
        <f>VLOOKUP($B99,[1]XinMoi!$B:$P,D$8,0)</f>
        <v>0</v>
      </c>
      <c r="E99" s="101">
        <f>VLOOKUP($B99,[1]XinMoi!$B:$P,E$8,0)</f>
        <v>0</v>
      </c>
      <c r="F99" s="102">
        <f>VLOOKUP($B99,[1]XinMoi!$B:$P,F$8,0)</f>
        <v>0</v>
      </c>
      <c r="G99" s="100">
        <f>VLOOKUP($B99,[1]XinMoi!$B:$P,G$8,0)</f>
        <v>0</v>
      </c>
      <c r="H99" s="100">
        <f>VLOOKUP($B99,[1]XinMoi!$B:$P,H$8,0)</f>
        <v>0</v>
      </c>
      <c r="I99" s="100">
        <f>VLOOKUP($B99,[1]XinMoi!$B:$P,I$8,0)</f>
        <v>0</v>
      </c>
      <c r="J99" s="100">
        <f>VLOOKUP($B99,[1]XinMoi!$B:$P,J$8,0)</f>
        <v>0</v>
      </c>
      <c r="K99" s="100" t="str">
        <f>VLOOKUP($B99,[1]XinMoi!$B:$P,K$8,0)</f>
        <v xml:space="preserve">  </v>
      </c>
      <c r="L99" s="100" t="str">
        <f>VLOOKUP($B99,[1]XinMoi!$B:$P,L$8,0)</f>
        <v xml:space="preserve">  </v>
      </c>
      <c r="M99" s="100" t="str">
        <f>VLOOKUP($B99,[1]XinMoi!$B:$Z,M$8,0)</f>
        <v xml:space="preserve">  </v>
      </c>
      <c r="N99" s="89">
        <f t="shared" si="3"/>
        <v>0</v>
      </c>
      <c r="O99" s="89">
        <f t="shared" si="4"/>
        <v>1</v>
      </c>
    </row>
    <row r="100" spans="1:15" ht="18" hidden="1" customHeight="1">
      <c r="A100" s="88" t="str">
        <f>[1]XinMoi!A112</f>
        <v>0</v>
      </c>
      <c r="B100" s="98">
        <v>92</v>
      </c>
      <c r="C100" s="99">
        <f>VLOOKUP($B100,[1]XinMoi!$B:$J,C$8,0)</f>
        <v>0</v>
      </c>
      <c r="D100" s="100">
        <f>VLOOKUP($B100,[1]XinMoi!$B:$P,D$8,0)</f>
        <v>0</v>
      </c>
      <c r="E100" s="101">
        <f>VLOOKUP($B100,[1]XinMoi!$B:$P,E$8,0)</f>
        <v>0</v>
      </c>
      <c r="F100" s="102">
        <f>VLOOKUP($B100,[1]XinMoi!$B:$P,F$8,0)</f>
        <v>0</v>
      </c>
      <c r="G100" s="100">
        <f>VLOOKUP($B100,[1]XinMoi!$B:$P,G$8,0)</f>
        <v>0</v>
      </c>
      <c r="H100" s="100">
        <f>VLOOKUP($B100,[1]XinMoi!$B:$P,H$8,0)</f>
        <v>0</v>
      </c>
      <c r="I100" s="100">
        <f>VLOOKUP($B100,[1]XinMoi!$B:$P,I$8,0)</f>
        <v>0</v>
      </c>
      <c r="J100" s="100">
        <f>VLOOKUP($B100,[1]XinMoi!$B:$P,J$8,0)</f>
        <v>0</v>
      </c>
      <c r="K100" s="100" t="str">
        <f>VLOOKUP($B100,[1]XinMoi!$B:$P,K$8,0)</f>
        <v xml:space="preserve">  </v>
      </c>
      <c r="L100" s="100" t="str">
        <f>VLOOKUP($B100,[1]XinMoi!$B:$P,L$8,0)</f>
        <v xml:space="preserve">  </v>
      </c>
      <c r="M100" s="100" t="str">
        <f>VLOOKUP($B100,[1]XinMoi!$B:$Z,M$8,0)</f>
        <v xml:space="preserve">  </v>
      </c>
      <c r="N100" s="89">
        <f t="shared" si="3"/>
        <v>0</v>
      </c>
      <c r="O100" s="89">
        <f t="shared" si="4"/>
        <v>1</v>
      </c>
    </row>
    <row r="101" spans="1:15" ht="18" hidden="1" customHeight="1">
      <c r="A101" s="88" t="str">
        <f>[1]XinMoi!A113</f>
        <v>0</v>
      </c>
      <c r="B101" s="98">
        <v>93</v>
      </c>
      <c r="C101" s="99">
        <f>VLOOKUP($B101,[1]XinMoi!$B:$J,C$8,0)</f>
        <v>0</v>
      </c>
      <c r="D101" s="100">
        <f>VLOOKUP($B101,[1]XinMoi!$B:$P,D$8,0)</f>
        <v>0</v>
      </c>
      <c r="E101" s="101">
        <f>VLOOKUP($B101,[1]XinMoi!$B:$P,E$8,0)</f>
        <v>0</v>
      </c>
      <c r="F101" s="102">
        <f>VLOOKUP($B101,[1]XinMoi!$B:$P,F$8,0)</f>
        <v>0</v>
      </c>
      <c r="G101" s="100">
        <f>VLOOKUP($B101,[1]XinMoi!$B:$P,G$8,0)</f>
        <v>0</v>
      </c>
      <c r="H101" s="100">
        <f>VLOOKUP($B101,[1]XinMoi!$B:$P,H$8,0)</f>
        <v>0</v>
      </c>
      <c r="I101" s="100">
        <f>VLOOKUP($B101,[1]XinMoi!$B:$P,I$8,0)</f>
        <v>0</v>
      </c>
      <c r="J101" s="100">
        <f>VLOOKUP($B101,[1]XinMoi!$B:$P,J$8,0)</f>
        <v>0</v>
      </c>
      <c r="K101" s="100" t="str">
        <f>VLOOKUP($B101,[1]XinMoi!$B:$P,K$8,0)</f>
        <v xml:space="preserve">  </v>
      </c>
      <c r="L101" s="100" t="str">
        <f>VLOOKUP($B101,[1]XinMoi!$B:$P,L$8,0)</f>
        <v xml:space="preserve">  </v>
      </c>
      <c r="M101" s="100" t="str">
        <f>VLOOKUP($B101,[1]XinMoi!$B:$Z,M$8,0)</f>
        <v xml:space="preserve">  </v>
      </c>
      <c r="N101" s="89">
        <f t="shared" si="3"/>
        <v>0</v>
      </c>
      <c r="O101" s="89">
        <f t="shared" si="4"/>
        <v>1</v>
      </c>
    </row>
    <row r="102" spans="1:15" ht="18" hidden="1" customHeight="1">
      <c r="A102" s="88" t="str">
        <f>[1]XinMoi!A114</f>
        <v>0</v>
      </c>
      <c r="B102" s="98">
        <v>94</v>
      </c>
      <c r="C102" s="99">
        <f>VLOOKUP($B102,[1]XinMoi!$B:$J,C$8,0)</f>
        <v>0</v>
      </c>
      <c r="D102" s="100">
        <f>VLOOKUP($B102,[1]XinMoi!$B:$P,D$8,0)</f>
        <v>0</v>
      </c>
      <c r="E102" s="101">
        <f>VLOOKUP($B102,[1]XinMoi!$B:$P,E$8,0)</f>
        <v>0</v>
      </c>
      <c r="F102" s="102">
        <f>VLOOKUP($B102,[1]XinMoi!$B:$P,F$8,0)</f>
        <v>0</v>
      </c>
      <c r="G102" s="100">
        <f>VLOOKUP($B102,[1]XinMoi!$B:$P,G$8,0)</f>
        <v>0</v>
      </c>
      <c r="H102" s="100">
        <f>VLOOKUP($B102,[1]XinMoi!$B:$P,H$8,0)</f>
        <v>0</v>
      </c>
      <c r="I102" s="100">
        <f>VLOOKUP($B102,[1]XinMoi!$B:$P,I$8,0)</f>
        <v>0</v>
      </c>
      <c r="J102" s="100">
        <f>VLOOKUP($B102,[1]XinMoi!$B:$P,J$8,0)</f>
        <v>0</v>
      </c>
      <c r="K102" s="100" t="str">
        <f>VLOOKUP($B102,[1]XinMoi!$B:$P,K$8,0)</f>
        <v xml:space="preserve">  </v>
      </c>
      <c r="L102" s="100" t="str">
        <f>VLOOKUP($B102,[1]XinMoi!$B:$P,L$8,0)</f>
        <v xml:space="preserve">  </v>
      </c>
      <c r="M102" s="100" t="str">
        <f>VLOOKUP($B102,[1]XinMoi!$B:$Z,M$8,0)</f>
        <v xml:space="preserve">  </v>
      </c>
      <c r="N102" s="89">
        <f t="shared" si="3"/>
        <v>0</v>
      </c>
      <c r="O102" s="89">
        <f t="shared" si="4"/>
        <v>1</v>
      </c>
    </row>
    <row r="103" spans="1:15" ht="18" hidden="1" customHeight="1">
      <c r="A103" s="88" t="str">
        <f>[1]XinMoi!A115</f>
        <v>0</v>
      </c>
      <c r="B103" s="98">
        <v>95</v>
      </c>
      <c r="C103" s="99">
        <f>VLOOKUP($B103,[1]XinMoi!$B:$J,C$8,0)</f>
        <v>0</v>
      </c>
      <c r="D103" s="100">
        <f>VLOOKUP($B103,[1]XinMoi!$B:$P,D$8,0)</f>
        <v>0</v>
      </c>
      <c r="E103" s="101">
        <f>VLOOKUP($B103,[1]XinMoi!$B:$P,E$8,0)</f>
        <v>0</v>
      </c>
      <c r="F103" s="102">
        <f>VLOOKUP($B103,[1]XinMoi!$B:$P,F$8,0)</f>
        <v>0</v>
      </c>
      <c r="G103" s="100">
        <f>VLOOKUP($B103,[1]XinMoi!$B:$P,G$8,0)</f>
        <v>0</v>
      </c>
      <c r="H103" s="100">
        <f>VLOOKUP($B103,[1]XinMoi!$B:$P,H$8,0)</f>
        <v>0</v>
      </c>
      <c r="I103" s="100">
        <f>VLOOKUP($B103,[1]XinMoi!$B:$P,I$8,0)</f>
        <v>0</v>
      </c>
      <c r="J103" s="100">
        <f>VLOOKUP($B103,[1]XinMoi!$B:$P,J$8,0)</f>
        <v>0</v>
      </c>
      <c r="K103" s="100" t="str">
        <f>VLOOKUP($B103,[1]XinMoi!$B:$P,K$8,0)</f>
        <v xml:space="preserve">  </v>
      </c>
      <c r="L103" s="100" t="str">
        <f>VLOOKUP($B103,[1]XinMoi!$B:$P,L$8,0)</f>
        <v xml:space="preserve">  </v>
      </c>
      <c r="M103" s="100" t="str">
        <f>VLOOKUP($B103,[1]XinMoi!$B:$Z,M$8,0)</f>
        <v xml:space="preserve">  </v>
      </c>
      <c r="N103" s="89">
        <f t="shared" si="3"/>
        <v>0</v>
      </c>
      <c r="O103" s="89">
        <f t="shared" si="4"/>
        <v>1</v>
      </c>
    </row>
    <row r="104" spans="1:15" ht="18" hidden="1" customHeight="1">
      <c r="A104" s="88" t="str">
        <f>[1]XinMoi!A116</f>
        <v>0</v>
      </c>
      <c r="B104" s="98">
        <v>96</v>
      </c>
      <c r="C104" s="99">
        <f>VLOOKUP($B104,[1]XinMoi!$B:$J,C$8,0)</f>
        <v>0</v>
      </c>
      <c r="D104" s="100">
        <f>VLOOKUP($B104,[1]XinMoi!$B:$P,D$8,0)</f>
        <v>0</v>
      </c>
      <c r="E104" s="101">
        <f>VLOOKUP($B104,[1]XinMoi!$B:$P,E$8,0)</f>
        <v>0</v>
      </c>
      <c r="F104" s="102">
        <f>VLOOKUP($B104,[1]XinMoi!$B:$P,F$8,0)</f>
        <v>0</v>
      </c>
      <c r="G104" s="100">
        <f>VLOOKUP($B104,[1]XinMoi!$B:$P,G$8,0)</f>
        <v>0</v>
      </c>
      <c r="H104" s="100">
        <f>VLOOKUP($B104,[1]XinMoi!$B:$P,H$8,0)</f>
        <v>0</v>
      </c>
      <c r="I104" s="100">
        <f>VLOOKUP($B104,[1]XinMoi!$B:$P,I$8,0)</f>
        <v>0</v>
      </c>
      <c r="J104" s="100">
        <f>VLOOKUP($B104,[1]XinMoi!$B:$P,J$8,0)</f>
        <v>0</v>
      </c>
      <c r="K104" s="100" t="str">
        <f>VLOOKUP($B104,[1]XinMoi!$B:$P,K$8,0)</f>
        <v xml:space="preserve">  </v>
      </c>
      <c r="L104" s="100" t="str">
        <f>VLOOKUP($B104,[1]XinMoi!$B:$P,L$8,0)</f>
        <v xml:space="preserve">  </v>
      </c>
      <c r="M104" s="100" t="str">
        <f>VLOOKUP($B104,[1]XinMoi!$B:$Z,M$8,0)</f>
        <v xml:space="preserve">  </v>
      </c>
      <c r="N104" s="89">
        <f t="shared" si="3"/>
        <v>0</v>
      </c>
      <c r="O104" s="89">
        <f t="shared" si="4"/>
        <v>1</v>
      </c>
    </row>
    <row r="105" spans="1:15" ht="18" hidden="1" customHeight="1">
      <c r="A105" s="88" t="str">
        <f>[1]XinMoi!A117</f>
        <v>0</v>
      </c>
      <c r="B105" s="98">
        <v>97</v>
      </c>
      <c r="C105" s="99">
        <f>VLOOKUP($B105,[1]XinMoi!$B:$J,C$8,0)</f>
        <v>0</v>
      </c>
      <c r="D105" s="100">
        <f>VLOOKUP($B105,[1]XinMoi!$B:$P,D$8,0)</f>
        <v>0</v>
      </c>
      <c r="E105" s="101">
        <f>VLOOKUP($B105,[1]XinMoi!$B:$P,E$8,0)</f>
        <v>0</v>
      </c>
      <c r="F105" s="102">
        <f>VLOOKUP($B105,[1]XinMoi!$B:$P,F$8,0)</f>
        <v>0</v>
      </c>
      <c r="G105" s="100">
        <f>VLOOKUP($B105,[1]XinMoi!$B:$P,G$8,0)</f>
        <v>0</v>
      </c>
      <c r="H105" s="100">
        <f>VLOOKUP($B105,[1]XinMoi!$B:$P,H$8,0)</f>
        <v>0</v>
      </c>
      <c r="I105" s="100">
        <f>VLOOKUP($B105,[1]XinMoi!$B:$P,I$8,0)</f>
        <v>0</v>
      </c>
      <c r="J105" s="100">
        <f>VLOOKUP($B105,[1]XinMoi!$B:$P,J$8,0)</f>
        <v>0</v>
      </c>
      <c r="K105" s="100" t="str">
        <f>VLOOKUP($B105,[1]XinMoi!$B:$P,K$8,0)</f>
        <v xml:space="preserve">  </v>
      </c>
      <c r="L105" s="100" t="str">
        <f>VLOOKUP($B105,[1]XinMoi!$B:$P,L$8,0)</f>
        <v xml:space="preserve">  </v>
      </c>
      <c r="M105" s="100" t="str">
        <f>VLOOKUP($B105,[1]XinMoi!$B:$Z,M$8,0)</f>
        <v xml:space="preserve">  </v>
      </c>
      <c r="N105" s="89">
        <f t="shared" si="3"/>
        <v>0</v>
      </c>
      <c r="O105" s="89">
        <f t="shared" si="4"/>
        <v>1</v>
      </c>
    </row>
    <row r="106" spans="1:15" ht="18" hidden="1" customHeight="1">
      <c r="A106" s="88" t="str">
        <f>[1]XinMoi!A118</f>
        <v>0</v>
      </c>
      <c r="B106" s="98">
        <v>98</v>
      </c>
      <c r="C106" s="99">
        <f>VLOOKUP($B106,[1]XinMoi!$B:$J,C$8,0)</f>
        <v>0</v>
      </c>
      <c r="D106" s="100">
        <f>VLOOKUP($B106,[1]XinMoi!$B:$P,D$8,0)</f>
        <v>0</v>
      </c>
      <c r="E106" s="101">
        <f>VLOOKUP($B106,[1]XinMoi!$B:$P,E$8,0)</f>
        <v>0</v>
      </c>
      <c r="F106" s="102">
        <f>VLOOKUP($B106,[1]XinMoi!$B:$P,F$8,0)</f>
        <v>0</v>
      </c>
      <c r="G106" s="100">
        <f>VLOOKUP($B106,[1]XinMoi!$B:$P,G$8,0)</f>
        <v>0</v>
      </c>
      <c r="H106" s="100">
        <f>VLOOKUP($B106,[1]XinMoi!$B:$P,H$8,0)</f>
        <v>0</v>
      </c>
      <c r="I106" s="100">
        <f>VLOOKUP($B106,[1]XinMoi!$B:$P,I$8,0)</f>
        <v>0</v>
      </c>
      <c r="J106" s="100">
        <f>VLOOKUP($B106,[1]XinMoi!$B:$P,J$8,0)</f>
        <v>0</v>
      </c>
      <c r="K106" s="100" t="str">
        <f>VLOOKUP($B106,[1]XinMoi!$B:$P,K$8,0)</f>
        <v xml:space="preserve">  </v>
      </c>
      <c r="L106" s="100" t="str">
        <f>VLOOKUP($B106,[1]XinMoi!$B:$P,L$8,0)</f>
        <v xml:space="preserve">  </v>
      </c>
      <c r="M106" s="100" t="str">
        <f>VLOOKUP($B106,[1]XinMoi!$B:$Z,M$8,0)</f>
        <v xml:space="preserve">  </v>
      </c>
      <c r="N106" s="89">
        <f t="shared" si="3"/>
        <v>0</v>
      </c>
      <c r="O106" s="89">
        <f t="shared" si="4"/>
        <v>1</v>
      </c>
    </row>
    <row r="107" spans="1:15" ht="18" hidden="1" customHeight="1">
      <c r="A107" s="88" t="str">
        <f>[1]XinMoi!A119</f>
        <v>0</v>
      </c>
      <c r="B107" s="98">
        <v>99</v>
      </c>
      <c r="C107" s="99">
        <f>VLOOKUP($B107,[1]XinMoi!$B:$J,C$8,0)</f>
        <v>0</v>
      </c>
      <c r="D107" s="100">
        <f>VLOOKUP($B107,[1]XinMoi!$B:$P,D$8,0)</f>
        <v>0</v>
      </c>
      <c r="E107" s="101">
        <f>VLOOKUP($B107,[1]XinMoi!$B:$P,E$8,0)</f>
        <v>0</v>
      </c>
      <c r="F107" s="102">
        <f>VLOOKUP($B107,[1]XinMoi!$B:$P,F$8,0)</f>
        <v>0</v>
      </c>
      <c r="G107" s="100">
        <f>VLOOKUP($B107,[1]XinMoi!$B:$P,G$8,0)</f>
        <v>0</v>
      </c>
      <c r="H107" s="100">
        <f>VLOOKUP($B107,[1]XinMoi!$B:$P,H$8,0)</f>
        <v>0</v>
      </c>
      <c r="I107" s="100">
        <f>VLOOKUP($B107,[1]XinMoi!$B:$P,I$8,0)</f>
        <v>0</v>
      </c>
      <c r="J107" s="100">
        <f>VLOOKUP($B107,[1]XinMoi!$B:$P,J$8,0)</f>
        <v>0</v>
      </c>
      <c r="K107" s="100" t="str">
        <f>VLOOKUP($B107,[1]XinMoi!$B:$P,K$8,0)</f>
        <v xml:space="preserve">  </v>
      </c>
      <c r="L107" s="100" t="str">
        <f>VLOOKUP($B107,[1]XinMoi!$B:$P,L$8,0)</f>
        <v xml:space="preserve">  </v>
      </c>
      <c r="M107" s="100" t="str">
        <f>VLOOKUP($B107,[1]XinMoi!$B:$Z,M$8,0)</f>
        <v xml:space="preserve">  </v>
      </c>
      <c r="N107" s="89">
        <f t="shared" si="3"/>
        <v>0</v>
      </c>
      <c r="O107" s="89">
        <f t="shared" si="4"/>
        <v>1</v>
      </c>
    </row>
    <row r="108" spans="1:15" ht="18" hidden="1" customHeight="1">
      <c r="A108" s="88" t="str">
        <f>[1]XinMoi!A120</f>
        <v>0</v>
      </c>
      <c r="B108" s="98">
        <v>100</v>
      </c>
      <c r="C108" s="99">
        <f>VLOOKUP($B108,[1]XinMoi!$B:$J,C$8,0)</f>
        <v>0</v>
      </c>
      <c r="D108" s="100">
        <f>VLOOKUP($B108,[1]XinMoi!$B:$P,D$8,0)</f>
        <v>0</v>
      </c>
      <c r="E108" s="101">
        <f>VLOOKUP($B108,[1]XinMoi!$B:$P,E$8,0)</f>
        <v>0</v>
      </c>
      <c r="F108" s="102">
        <f>VLOOKUP($B108,[1]XinMoi!$B:$P,F$8,0)</f>
        <v>0</v>
      </c>
      <c r="G108" s="100">
        <f>VLOOKUP($B108,[1]XinMoi!$B:$P,G$8,0)</f>
        <v>0</v>
      </c>
      <c r="H108" s="100">
        <f>VLOOKUP($B108,[1]XinMoi!$B:$P,H$8,0)</f>
        <v>0</v>
      </c>
      <c r="I108" s="100">
        <f>VLOOKUP($B108,[1]XinMoi!$B:$P,I$8,0)</f>
        <v>0</v>
      </c>
      <c r="J108" s="100">
        <f>VLOOKUP($B108,[1]XinMoi!$B:$P,J$8,0)</f>
        <v>0</v>
      </c>
      <c r="K108" s="100" t="str">
        <f>VLOOKUP($B108,[1]XinMoi!$B:$P,K$8,0)</f>
        <v xml:space="preserve">  </v>
      </c>
      <c r="L108" s="100" t="str">
        <f>VLOOKUP($B108,[1]XinMoi!$B:$P,L$8,0)</f>
        <v xml:space="preserve">  </v>
      </c>
      <c r="M108" s="100" t="str">
        <f>VLOOKUP($B108,[1]XinMoi!$B:$Z,M$8,0)</f>
        <v xml:space="preserve">  </v>
      </c>
      <c r="N108" s="89">
        <f t="shared" si="3"/>
        <v>0</v>
      </c>
      <c r="O108" s="89">
        <f t="shared" si="4"/>
        <v>1</v>
      </c>
    </row>
    <row r="109" spans="1:15" ht="18" hidden="1" customHeight="1">
      <c r="A109" s="88" t="str">
        <f>[1]XinMoi!A121</f>
        <v>0</v>
      </c>
      <c r="B109" s="98">
        <v>101</v>
      </c>
      <c r="C109" s="99">
        <f>VLOOKUP($B109,[1]XinMoi!$B:$J,C$8,0)</f>
        <v>0</v>
      </c>
      <c r="D109" s="100">
        <f>VLOOKUP($B109,[1]XinMoi!$B:$P,D$8,0)</f>
        <v>0</v>
      </c>
      <c r="E109" s="101">
        <f>VLOOKUP($B109,[1]XinMoi!$B:$P,E$8,0)</f>
        <v>0</v>
      </c>
      <c r="F109" s="102">
        <f>VLOOKUP($B109,[1]XinMoi!$B:$P,F$8,0)</f>
        <v>0</v>
      </c>
      <c r="G109" s="100">
        <f>VLOOKUP($B109,[1]XinMoi!$B:$P,G$8,0)</f>
        <v>0</v>
      </c>
      <c r="H109" s="100">
        <f>VLOOKUP($B109,[1]XinMoi!$B:$P,H$8,0)</f>
        <v>0</v>
      </c>
      <c r="I109" s="100">
        <f>VLOOKUP($B109,[1]XinMoi!$B:$P,I$8,0)</f>
        <v>0</v>
      </c>
      <c r="J109" s="100">
        <f>VLOOKUP($B109,[1]XinMoi!$B:$P,J$8,0)</f>
        <v>0</v>
      </c>
      <c r="K109" s="100" t="str">
        <f>VLOOKUP($B109,[1]XinMoi!$B:$P,K$8,0)</f>
        <v xml:space="preserve">  </v>
      </c>
      <c r="L109" s="100" t="str">
        <f>VLOOKUP($B109,[1]XinMoi!$B:$P,L$8,0)</f>
        <v xml:space="preserve">  </v>
      </c>
      <c r="M109" s="100" t="str">
        <f>VLOOKUP($B109,[1]XinMoi!$B:$Z,M$8,0)</f>
        <v xml:space="preserve">  </v>
      </c>
      <c r="N109" s="89">
        <f t="shared" si="3"/>
        <v>0</v>
      </c>
      <c r="O109" s="89">
        <f t="shared" si="4"/>
        <v>1</v>
      </c>
    </row>
    <row r="110" spans="1:15" ht="18" hidden="1" customHeight="1">
      <c r="A110" s="88" t="str">
        <f>[1]XinMoi!A122</f>
        <v>96</v>
      </c>
      <c r="B110" s="98">
        <v>102</v>
      </c>
      <c r="C110" s="99">
        <f>VLOOKUP($B110,[1]XinMoi!$B:$J,C$8,0)</f>
        <v>0</v>
      </c>
      <c r="D110" s="100">
        <f>VLOOKUP($B110,[1]XinMoi!$B:$P,D$8,0)</f>
        <v>0</v>
      </c>
      <c r="E110" s="101">
        <f>VLOOKUP($B110,[1]XinMoi!$B:$P,E$8,0)</f>
        <v>0</v>
      </c>
      <c r="F110" s="102">
        <f>VLOOKUP($B110,[1]XinMoi!$B:$P,F$8,0)</f>
        <v>0</v>
      </c>
      <c r="G110" s="100">
        <f>VLOOKUP($B110,[1]XinMoi!$B:$P,G$8,0)</f>
        <v>0</v>
      </c>
      <c r="H110" s="100">
        <f>VLOOKUP($B110,[1]XinMoi!$B:$P,H$8,0)</f>
        <v>0</v>
      </c>
      <c r="I110" s="100">
        <f>VLOOKUP($B110,[1]XinMoi!$B:$P,I$8,0)</f>
        <v>0</v>
      </c>
      <c r="J110" s="100">
        <f>VLOOKUP($B110,[1]XinMoi!$B:$P,J$8,0)</f>
        <v>0</v>
      </c>
      <c r="K110" s="100" t="str">
        <f>VLOOKUP($B110,[1]XinMoi!$B:$P,K$8,0)</f>
        <v xml:space="preserve">  </v>
      </c>
      <c r="L110" s="100" t="str">
        <f>VLOOKUP($B110,[1]XinMoi!$B:$P,L$8,0)</f>
        <v xml:space="preserve">  </v>
      </c>
      <c r="M110" s="100" t="str">
        <f>VLOOKUP($B110,[1]XinMoi!$B:$Z,M$8,0)</f>
        <v xml:space="preserve">  </v>
      </c>
      <c r="N110" s="89">
        <f t="shared" si="3"/>
        <v>0</v>
      </c>
      <c r="O110" s="89">
        <f t="shared" si="4"/>
        <v>1</v>
      </c>
    </row>
    <row r="111" spans="1:15" ht="18" hidden="1" customHeight="1">
      <c r="A111" s="88" t="str">
        <f>[1]XinMoi!A123</f>
        <v>97</v>
      </c>
      <c r="B111" s="98">
        <v>103</v>
      </c>
      <c r="C111" s="99">
        <f>VLOOKUP($B111,[1]XinMoi!$B:$J,C$8,0)</f>
        <v>0</v>
      </c>
      <c r="D111" s="100">
        <f>VLOOKUP($B111,[1]XinMoi!$B:$P,D$8,0)</f>
        <v>0</v>
      </c>
      <c r="E111" s="101">
        <f>VLOOKUP($B111,[1]XinMoi!$B:$P,E$8,0)</f>
        <v>0</v>
      </c>
      <c r="F111" s="102">
        <f>VLOOKUP($B111,[1]XinMoi!$B:$P,F$8,0)</f>
        <v>0</v>
      </c>
      <c r="G111" s="100">
        <f>VLOOKUP($B111,[1]XinMoi!$B:$P,G$8,0)</f>
        <v>0</v>
      </c>
      <c r="H111" s="100">
        <f>VLOOKUP($B111,[1]XinMoi!$B:$P,H$8,0)</f>
        <v>0</v>
      </c>
      <c r="I111" s="100">
        <f>VLOOKUP($B111,[1]XinMoi!$B:$P,I$8,0)</f>
        <v>0</v>
      </c>
      <c r="J111" s="100">
        <f>VLOOKUP($B111,[1]XinMoi!$B:$P,J$8,0)</f>
        <v>0</v>
      </c>
      <c r="K111" s="100" t="str">
        <f>VLOOKUP($B111,[1]XinMoi!$B:$P,K$8,0)</f>
        <v xml:space="preserve">  </v>
      </c>
      <c r="L111" s="100" t="str">
        <f>VLOOKUP($B111,[1]XinMoi!$B:$P,L$8,0)</f>
        <v xml:space="preserve">  </v>
      </c>
      <c r="M111" s="100" t="str">
        <f>VLOOKUP($B111,[1]XinMoi!$B:$Z,M$8,0)</f>
        <v xml:space="preserve">  </v>
      </c>
      <c r="N111" s="89">
        <f t="shared" si="3"/>
        <v>0</v>
      </c>
      <c r="O111" s="89">
        <f t="shared" si="4"/>
        <v>1</v>
      </c>
    </row>
    <row r="112" spans="1:15" ht="18" hidden="1" customHeight="1">
      <c r="A112" s="88" t="str">
        <f>[1]XinMoi!A124</f>
        <v>98</v>
      </c>
      <c r="B112" s="98">
        <v>104</v>
      </c>
      <c r="C112" s="99">
        <f>VLOOKUP($B112,[1]XinMoi!$B:$J,C$8,0)</f>
        <v>0</v>
      </c>
      <c r="D112" s="100">
        <f>VLOOKUP($B112,[1]XinMoi!$B:$P,D$8,0)</f>
        <v>0</v>
      </c>
      <c r="E112" s="101">
        <f>VLOOKUP($B112,[1]XinMoi!$B:$P,E$8,0)</f>
        <v>0</v>
      </c>
      <c r="F112" s="102">
        <f>VLOOKUP($B112,[1]XinMoi!$B:$P,F$8,0)</f>
        <v>0</v>
      </c>
      <c r="G112" s="100">
        <f>VLOOKUP($B112,[1]XinMoi!$B:$P,G$8,0)</f>
        <v>0</v>
      </c>
      <c r="H112" s="100">
        <f>VLOOKUP($B112,[1]XinMoi!$B:$P,H$8,0)</f>
        <v>0</v>
      </c>
      <c r="I112" s="100">
        <f>VLOOKUP($B112,[1]XinMoi!$B:$P,I$8,0)</f>
        <v>0</v>
      </c>
      <c r="J112" s="100">
        <f>VLOOKUP($B112,[1]XinMoi!$B:$P,J$8,0)</f>
        <v>0</v>
      </c>
      <c r="K112" s="100" t="str">
        <f>VLOOKUP($B112,[1]XinMoi!$B:$P,K$8,0)</f>
        <v xml:space="preserve">  </v>
      </c>
      <c r="L112" s="100" t="str">
        <f>VLOOKUP($B112,[1]XinMoi!$B:$P,L$8,0)</f>
        <v xml:space="preserve">  </v>
      </c>
      <c r="M112" s="100" t="str">
        <f>VLOOKUP($B112,[1]XinMoi!$B:$Z,M$8,0)</f>
        <v xml:space="preserve">  </v>
      </c>
      <c r="N112" s="89">
        <f t="shared" si="3"/>
        <v>0</v>
      </c>
      <c r="O112" s="89">
        <f t="shared" si="4"/>
        <v>1</v>
      </c>
    </row>
    <row r="113" spans="1:15" ht="18" hidden="1" customHeight="1">
      <c r="A113" s="88" t="str">
        <f>[1]XinMoi!A125</f>
        <v>99</v>
      </c>
      <c r="B113" s="98">
        <v>105</v>
      </c>
      <c r="C113" s="99">
        <f>VLOOKUP($B113,[1]XinMoi!$B:$J,C$8,0)</f>
        <v>0</v>
      </c>
      <c r="D113" s="100">
        <f>VLOOKUP($B113,[1]XinMoi!$B:$P,D$8,0)</f>
        <v>0</v>
      </c>
      <c r="E113" s="101">
        <f>VLOOKUP($B113,[1]XinMoi!$B:$P,E$8,0)</f>
        <v>0</v>
      </c>
      <c r="F113" s="102">
        <f>VLOOKUP($B113,[1]XinMoi!$B:$P,F$8,0)</f>
        <v>0</v>
      </c>
      <c r="G113" s="100">
        <f>VLOOKUP($B113,[1]XinMoi!$B:$P,G$8,0)</f>
        <v>0</v>
      </c>
      <c r="H113" s="100">
        <f>VLOOKUP($B113,[1]XinMoi!$B:$P,H$8,0)</f>
        <v>0</v>
      </c>
      <c r="I113" s="100">
        <f>VLOOKUP($B113,[1]XinMoi!$B:$P,I$8,0)</f>
        <v>0</v>
      </c>
      <c r="J113" s="100">
        <f>VLOOKUP($B113,[1]XinMoi!$B:$P,J$8,0)</f>
        <v>0</v>
      </c>
      <c r="K113" s="100" t="str">
        <f>VLOOKUP($B113,[1]XinMoi!$B:$P,K$8,0)</f>
        <v xml:space="preserve">  </v>
      </c>
      <c r="L113" s="100" t="str">
        <f>VLOOKUP($B113,[1]XinMoi!$B:$P,L$8,0)</f>
        <v xml:space="preserve">  </v>
      </c>
      <c r="M113" s="100" t="str">
        <f>VLOOKUP($B113,[1]XinMoi!$B:$Z,M$8,0)</f>
        <v xml:space="preserve">  </v>
      </c>
      <c r="N113" s="89">
        <f t="shared" si="3"/>
        <v>0</v>
      </c>
      <c r="O113" s="89">
        <f t="shared" si="4"/>
        <v>1</v>
      </c>
    </row>
    <row r="114" spans="1:15" ht="18" hidden="1" customHeight="1">
      <c r="A114" s="88" t="str">
        <f>[1]XinMoi!A126</f>
        <v>100</v>
      </c>
      <c r="B114" s="98">
        <v>106</v>
      </c>
      <c r="C114" s="99">
        <f>VLOOKUP($B114,[1]XinMoi!$B:$J,C$8,0)</f>
        <v>0</v>
      </c>
      <c r="D114" s="100">
        <f>VLOOKUP($B114,[1]XinMoi!$B:$P,D$8,0)</f>
        <v>0</v>
      </c>
      <c r="E114" s="101">
        <f>VLOOKUP($B114,[1]XinMoi!$B:$P,E$8,0)</f>
        <v>0</v>
      </c>
      <c r="F114" s="102">
        <f>VLOOKUP($B114,[1]XinMoi!$B:$P,F$8,0)</f>
        <v>0</v>
      </c>
      <c r="G114" s="100">
        <f>VLOOKUP($B114,[1]XinMoi!$B:$P,G$8,0)</f>
        <v>0</v>
      </c>
      <c r="H114" s="100">
        <f>VLOOKUP($B114,[1]XinMoi!$B:$P,H$8,0)</f>
        <v>0</v>
      </c>
      <c r="I114" s="100">
        <f>VLOOKUP($B114,[1]XinMoi!$B:$P,I$8,0)</f>
        <v>0</v>
      </c>
      <c r="J114" s="100">
        <f>VLOOKUP($B114,[1]XinMoi!$B:$P,J$8,0)</f>
        <v>0</v>
      </c>
      <c r="K114" s="100" t="str">
        <f>VLOOKUP($B114,[1]XinMoi!$B:$P,K$8,0)</f>
        <v xml:space="preserve">  </v>
      </c>
      <c r="L114" s="100" t="str">
        <f>VLOOKUP($B114,[1]XinMoi!$B:$P,L$8,0)</f>
        <v xml:space="preserve">  </v>
      </c>
      <c r="M114" s="100" t="str">
        <f>VLOOKUP($B114,[1]XinMoi!$B:$Z,M$8,0)</f>
        <v xml:space="preserve">  </v>
      </c>
      <c r="N114" s="89">
        <f t="shared" si="3"/>
        <v>0</v>
      </c>
      <c r="O114" s="89">
        <f t="shared" si="4"/>
        <v>1</v>
      </c>
    </row>
    <row r="115" spans="1:15" ht="18" hidden="1" customHeight="1">
      <c r="A115" s="88" t="str">
        <f>[1]XinMoi!A127</f>
        <v>101</v>
      </c>
      <c r="B115" s="98">
        <v>107</v>
      </c>
      <c r="C115" s="99">
        <f>VLOOKUP($B115,[1]XinMoi!$B:$J,C$8,0)</f>
        <v>0</v>
      </c>
      <c r="D115" s="100">
        <f>VLOOKUP($B115,[1]XinMoi!$B:$P,D$8,0)</f>
        <v>0</v>
      </c>
      <c r="E115" s="101">
        <f>VLOOKUP($B115,[1]XinMoi!$B:$P,E$8,0)</f>
        <v>0</v>
      </c>
      <c r="F115" s="102">
        <f>VLOOKUP($B115,[1]XinMoi!$B:$P,F$8,0)</f>
        <v>0</v>
      </c>
      <c r="G115" s="100">
        <f>VLOOKUP($B115,[1]XinMoi!$B:$P,G$8,0)</f>
        <v>0</v>
      </c>
      <c r="H115" s="100">
        <f>VLOOKUP($B115,[1]XinMoi!$B:$P,H$8,0)</f>
        <v>0</v>
      </c>
      <c r="I115" s="100">
        <f>VLOOKUP($B115,[1]XinMoi!$B:$P,I$8,0)</f>
        <v>0</v>
      </c>
      <c r="J115" s="100">
        <f>VLOOKUP($B115,[1]XinMoi!$B:$P,J$8,0)</f>
        <v>0</v>
      </c>
      <c r="K115" s="100" t="str">
        <f>VLOOKUP($B115,[1]XinMoi!$B:$P,K$8,0)</f>
        <v xml:space="preserve">  </v>
      </c>
      <c r="L115" s="100" t="str">
        <f>VLOOKUP($B115,[1]XinMoi!$B:$P,L$8,0)</f>
        <v xml:space="preserve">  </v>
      </c>
      <c r="M115" s="100" t="str">
        <f>VLOOKUP($B115,[1]XinMoi!$B:$Z,M$8,0)</f>
        <v xml:space="preserve">  </v>
      </c>
      <c r="N115" s="89">
        <f t="shared" si="3"/>
        <v>0</v>
      </c>
      <c r="O115" s="89">
        <f t="shared" si="4"/>
        <v>1</v>
      </c>
    </row>
    <row r="116" spans="1:15" ht="18" hidden="1" customHeight="1">
      <c r="A116" s="88" t="str">
        <f>[1]XinMoi!A128</f>
        <v>102</v>
      </c>
      <c r="B116" s="98">
        <v>108</v>
      </c>
      <c r="C116" s="99">
        <f>VLOOKUP($B116,[1]XinMoi!$B:$J,C$8,0)</f>
        <v>0</v>
      </c>
      <c r="D116" s="100">
        <f>VLOOKUP($B116,[1]XinMoi!$B:$P,D$8,0)</f>
        <v>0</v>
      </c>
      <c r="E116" s="101">
        <f>VLOOKUP($B116,[1]XinMoi!$B:$P,E$8,0)</f>
        <v>0</v>
      </c>
      <c r="F116" s="102">
        <f>VLOOKUP($B116,[1]XinMoi!$B:$P,F$8,0)</f>
        <v>0</v>
      </c>
      <c r="G116" s="100">
        <f>VLOOKUP($B116,[1]XinMoi!$B:$P,G$8,0)</f>
        <v>0</v>
      </c>
      <c r="H116" s="100">
        <f>VLOOKUP($B116,[1]XinMoi!$B:$P,H$8,0)</f>
        <v>0</v>
      </c>
      <c r="I116" s="100">
        <f>VLOOKUP($B116,[1]XinMoi!$B:$P,I$8,0)</f>
        <v>0</v>
      </c>
      <c r="J116" s="100">
        <f>VLOOKUP($B116,[1]XinMoi!$B:$P,J$8,0)</f>
        <v>0</v>
      </c>
      <c r="K116" s="100" t="str">
        <f>VLOOKUP($B116,[1]XinMoi!$B:$P,K$8,0)</f>
        <v xml:space="preserve">  </v>
      </c>
      <c r="L116" s="100" t="str">
        <f>VLOOKUP($B116,[1]XinMoi!$B:$P,L$8,0)</f>
        <v xml:space="preserve">  </v>
      </c>
      <c r="M116" s="100" t="str">
        <f>VLOOKUP($B116,[1]XinMoi!$B:$Z,M$8,0)</f>
        <v xml:space="preserve">  </v>
      </c>
      <c r="N116" s="89">
        <f t="shared" si="3"/>
        <v>0</v>
      </c>
      <c r="O116" s="89">
        <f t="shared" si="4"/>
        <v>1</v>
      </c>
    </row>
    <row r="117" spans="1:15" ht="18" hidden="1" customHeight="1">
      <c r="A117" s="88" t="str">
        <f>[1]XinMoi!A129</f>
        <v>103</v>
      </c>
      <c r="B117" s="98">
        <v>109</v>
      </c>
      <c r="C117" s="99">
        <f>VLOOKUP($B117,[1]XinMoi!$B:$J,C$8,0)</f>
        <v>0</v>
      </c>
      <c r="D117" s="100">
        <f>VLOOKUP($B117,[1]XinMoi!$B:$P,D$8,0)</f>
        <v>0</v>
      </c>
      <c r="E117" s="101">
        <f>VLOOKUP($B117,[1]XinMoi!$B:$P,E$8,0)</f>
        <v>0</v>
      </c>
      <c r="F117" s="102">
        <f>VLOOKUP($B117,[1]XinMoi!$B:$P,F$8,0)</f>
        <v>0</v>
      </c>
      <c r="G117" s="100">
        <f>VLOOKUP($B117,[1]XinMoi!$B:$P,G$8,0)</f>
        <v>0</v>
      </c>
      <c r="H117" s="100">
        <f>VLOOKUP($B117,[1]XinMoi!$B:$P,H$8,0)</f>
        <v>0</v>
      </c>
      <c r="I117" s="100">
        <f>VLOOKUP($B117,[1]XinMoi!$B:$P,I$8,0)</f>
        <v>0</v>
      </c>
      <c r="J117" s="100">
        <f>VLOOKUP($B117,[1]XinMoi!$B:$P,J$8,0)</f>
        <v>0</v>
      </c>
      <c r="K117" s="100" t="str">
        <f>VLOOKUP($B117,[1]XinMoi!$B:$P,K$8,0)</f>
        <v xml:space="preserve">  </v>
      </c>
      <c r="L117" s="100" t="str">
        <f>VLOOKUP($B117,[1]XinMoi!$B:$P,L$8,0)</f>
        <v xml:space="preserve">  </v>
      </c>
      <c r="M117" s="100" t="str">
        <f>VLOOKUP($B117,[1]XinMoi!$B:$Z,M$8,0)</f>
        <v xml:space="preserve">  </v>
      </c>
      <c r="N117" s="89">
        <f t="shared" si="3"/>
        <v>0</v>
      </c>
      <c r="O117" s="89">
        <f t="shared" si="4"/>
        <v>1</v>
      </c>
    </row>
    <row r="118" spans="1:15" ht="18" hidden="1" customHeight="1">
      <c r="A118" s="88" t="str">
        <f>[1]XinMoi!A130</f>
        <v>104</v>
      </c>
      <c r="B118" s="98">
        <v>110</v>
      </c>
      <c r="C118" s="99">
        <f>VLOOKUP($B118,[1]XinMoi!$B:$J,C$8,0)</f>
        <v>0</v>
      </c>
      <c r="D118" s="100">
        <f>VLOOKUP($B118,[1]XinMoi!$B:$P,D$8,0)</f>
        <v>0</v>
      </c>
      <c r="E118" s="101">
        <f>VLOOKUP($B118,[1]XinMoi!$B:$P,E$8,0)</f>
        <v>0</v>
      </c>
      <c r="F118" s="102">
        <f>VLOOKUP($B118,[1]XinMoi!$B:$P,F$8,0)</f>
        <v>0</v>
      </c>
      <c r="G118" s="100">
        <f>VLOOKUP($B118,[1]XinMoi!$B:$P,G$8,0)</f>
        <v>0</v>
      </c>
      <c r="H118" s="100">
        <f>VLOOKUP($B118,[1]XinMoi!$B:$P,H$8,0)</f>
        <v>0</v>
      </c>
      <c r="I118" s="100">
        <f>VLOOKUP($B118,[1]XinMoi!$B:$P,I$8,0)</f>
        <v>0</v>
      </c>
      <c r="J118" s="100">
        <f>VLOOKUP($B118,[1]XinMoi!$B:$P,J$8,0)</f>
        <v>0</v>
      </c>
      <c r="K118" s="100" t="str">
        <f>VLOOKUP($B118,[1]XinMoi!$B:$P,K$8,0)</f>
        <v xml:space="preserve">  </v>
      </c>
      <c r="L118" s="100" t="str">
        <f>VLOOKUP($B118,[1]XinMoi!$B:$P,L$8,0)</f>
        <v xml:space="preserve">  </v>
      </c>
      <c r="M118" s="100" t="str">
        <f>VLOOKUP($B118,[1]XinMoi!$B:$Z,M$8,0)</f>
        <v xml:space="preserve">  </v>
      </c>
      <c r="N118" s="89">
        <f t="shared" si="3"/>
        <v>0</v>
      </c>
      <c r="O118" s="89">
        <f t="shared" si="4"/>
        <v>1</v>
      </c>
    </row>
    <row r="119" spans="1:15" ht="18" hidden="1" customHeight="1">
      <c r="A119" s="88" t="str">
        <f>[1]XinMoi!A131</f>
        <v>105</v>
      </c>
      <c r="B119" s="98">
        <v>111</v>
      </c>
      <c r="C119" s="99">
        <f>VLOOKUP($B119,[1]XinMoi!$B:$J,C$8,0)</f>
        <v>0</v>
      </c>
      <c r="D119" s="100">
        <f>VLOOKUP($B119,[1]XinMoi!$B:$P,D$8,0)</f>
        <v>0</v>
      </c>
      <c r="E119" s="101">
        <f>VLOOKUP($B119,[1]XinMoi!$B:$P,E$8,0)</f>
        <v>0</v>
      </c>
      <c r="F119" s="102">
        <f>VLOOKUP($B119,[1]XinMoi!$B:$P,F$8,0)</f>
        <v>0</v>
      </c>
      <c r="G119" s="100">
        <f>VLOOKUP($B119,[1]XinMoi!$B:$P,G$8,0)</f>
        <v>0</v>
      </c>
      <c r="H119" s="100">
        <f>VLOOKUP($B119,[1]XinMoi!$B:$P,H$8,0)</f>
        <v>0</v>
      </c>
      <c r="I119" s="100">
        <f>VLOOKUP($B119,[1]XinMoi!$B:$P,I$8,0)</f>
        <v>0</v>
      </c>
      <c r="J119" s="100">
        <f>VLOOKUP($B119,[1]XinMoi!$B:$P,J$8,0)</f>
        <v>0</v>
      </c>
      <c r="K119" s="100" t="str">
        <f>VLOOKUP($B119,[1]XinMoi!$B:$P,K$8,0)</f>
        <v xml:space="preserve">  </v>
      </c>
      <c r="L119" s="100" t="str">
        <f>VLOOKUP($B119,[1]XinMoi!$B:$P,L$8,0)</f>
        <v xml:space="preserve">  </v>
      </c>
      <c r="M119" s="100" t="str">
        <f>VLOOKUP($B119,[1]XinMoi!$B:$Z,M$8,0)</f>
        <v xml:space="preserve">  </v>
      </c>
      <c r="N119" s="89">
        <f t="shared" si="3"/>
        <v>0</v>
      </c>
      <c r="O119" s="89">
        <f t="shared" si="4"/>
        <v>1</v>
      </c>
    </row>
    <row r="120" spans="1:15" ht="18" hidden="1" customHeight="1">
      <c r="A120" s="88" t="str">
        <f>[1]XinMoi!A132</f>
        <v>106</v>
      </c>
      <c r="B120" s="98">
        <v>112</v>
      </c>
      <c r="C120" s="99">
        <f>VLOOKUP($B120,[1]XinMoi!$B:$J,C$8,0)</f>
        <v>0</v>
      </c>
      <c r="D120" s="100">
        <f>VLOOKUP($B120,[1]XinMoi!$B:$P,D$8,0)</f>
        <v>0</v>
      </c>
      <c r="E120" s="101">
        <f>VLOOKUP($B120,[1]XinMoi!$B:$P,E$8,0)</f>
        <v>0</v>
      </c>
      <c r="F120" s="102">
        <f>VLOOKUP($B120,[1]XinMoi!$B:$P,F$8,0)</f>
        <v>0</v>
      </c>
      <c r="G120" s="100">
        <f>VLOOKUP($B120,[1]XinMoi!$B:$P,G$8,0)</f>
        <v>0</v>
      </c>
      <c r="H120" s="100">
        <f>VLOOKUP($B120,[1]XinMoi!$B:$P,H$8,0)</f>
        <v>0</v>
      </c>
      <c r="I120" s="100">
        <f>VLOOKUP($B120,[1]XinMoi!$B:$P,I$8,0)</f>
        <v>0</v>
      </c>
      <c r="J120" s="100">
        <f>VLOOKUP($B120,[1]XinMoi!$B:$P,J$8,0)</f>
        <v>0</v>
      </c>
      <c r="K120" s="100" t="str">
        <f>VLOOKUP($B120,[1]XinMoi!$B:$P,K$8,0)</f>
        <v xml:space="preserve">  </v>
      </c>
      <c r="L120" s="100" t="str">
        <f>VLOOKUP($B120,[1]XinMoi!$B:$P,L$8,0)</f>
        <v xml:space="preserve">  </v>
      </c>
      <c r="M120" s="100" t="str">
        <f>VLOOKUP($B120,[1]XinMoi!$B:$Z,M$8,0)</f>
        <v xml:space="preserve">  </v>
      </c>
      <c r="N120" s="89">
        <f t="shared" si="3"/>
        <v>0</v>
      </c>
      <c r="O120" s="89">
        <f t="shared" si="4"/>
        <v>1</v>
      </c>
    </row>
    <row r="121" spans="1:15" ht="18" hidden="1" customHeight="1">
      <c r="A121" s="88" t="str">
        <f>[1]XinMoi!A133</f>
        <v>107</v>
      </c>
      <c r="B121" s="98">
        <v>113</v>
      </c>
      <c r="C121" s="99">
        <f>VLOOKUP($B121,[1]XinMoi!$B:$J,C$8,0)</f>
        <v>0</v>
      </c>
      <c r="D121" s="100">
        <f>VLOOKUP($B121,[1]XinMoi!$B:$P,D$8,0)</f>
        <v>0</v>
      </c>
      <c r="E121" s="101">
        <f>VLOOKUP($B121,[1]XinMoi!$B:$P,E$8,0)</f>
        <v>0</v>
      </c>
      <c r="F121" s="102">
        <f>VLOOKUP($B121,[1]XinMoi!$B:$P,F$8,0)</f>
        <v>0</v>
      </c>
      <c r="G121" s="100">
        <f>VLOOKUP($B121,[1]XinMoi!$B:$P,G$8,0)</f>
        <v>0</v>
      </c>
      <c r="H121" s="100">
        <f>VLOOKUP($B121,[1]XinMoi!$B:$P,H$8,0)</f>
        <v>0</v>
      </c>
      <c r="I121" s="100">
        <f>VLOOKUP($B121,[1]XinMoi!$B:$P,I$8,0)</f>
        <v>0</v>
      </c>
      <c r="J121" s="100">
        <f>VLOOKUP($B121,[1]XinMoi!$B:$P,J$8,0)</f>
        <v>0</v>
      </c>
      <c r="K121" s="100" t="str">
        <f>VLOOKUP($B121,[1]XinMoi!$B:$P,K$8,0)</f>
        <v xml:space="preserve">  </v>
      </c>
      <c r="L121" s="100" t="str">
        <f>VLOOKUP($B121,[1]XinMoi!$B:$P,L$8,0)</f>
        <v xml:space="preserve">  </v>
      </c>
      <c r="M121" s="100" t="str">
        <f>VLOOKUP($B121,[1]XinMoi!$B:$Z,M$8,0)</f>
        <v xml:space="preserve">  </v>
      </c>
      <c r="N121" s="89">
        <f t="shared" si="3"/>
        <v>0</v>
      </c>
      <c r="O121" s="89">
        <f t="shared" si="4"/>
        <v>1</v>
      </c>
    </row>
    <row r="122" spans="1:15" ht="18" hidden="1" customHeight="1">
      <c r="A122" s="88" t="str">
        <f>[1]XinMoi!A134</f>
        <v>108</v>
      </c>
      <c r="B122" s="98">
        <v>114</v>
      </c>
      <c r="C122" s="99">
        <f>VLOOKUP($B122,[1]XinMoi!$B:$J,C$8,0)</f>
        <v>0</v>
      </c>
      <c r="D122" s="100">
        <f>VLOOKUP($B122,[1]XinMoi!$B:$P,D$8,0)</f>
        <v>0</v>
      </c>
      <c r="E122" s="101">
        <f>VLOOKUP($B122,[1]XinMoi!$B:$P,E$8,0)</f>
        <v>0</v>
      </c>
      <c r="F122" s="102">
        <f>VLOOKUP($B122,[1]XinMoi!$B:$P,F$8,0)</f>
        <v>0</v>
      </c>
      <c r="G122" s="100">
        <f>VLOOKUP($B122,[1]XinMoi!$B:$P,G$8,0)</f>
        <v>0</v>
      </c>
      <c r="H122" s="100">
        <f>VLOOKUP($B122,[1]XinMoi!$B:$P,H$8,0)</f>
        <v>0</v>
      </c>
      <c r="I122" s="100">
        <f>VLOOKUP($B122,[1]XinMoi!$B:$P,I$8,0)</f>
        <v>0</v>
      </c>
      <c r="J122" s="100">
        <f>VLOOKUP($B122,[1]XinMoi!$B:$P,J$8,0)</f>
        <v>0</v>
      </c>
      <c r="K122" s="100" t="str">
        <f>VLOOKUP($B122,[1]XinMoi!$B:$P,K$8,0)</f>
        <v xml:space="preserve">  </v>
      </c>
      <c r="L122" s="100" t="str">
        <f>VLOOKUP($B122,[1]XinMoi!$B:$P,L$8,0)</f>
        <v xml:space="preserve">  </v>
      </c>
      <c r="M122" s="100" t="str">
        <f>VLOOKUP($B122,[1]XinMoi!$B:$Z,M$8,0)</f>
        <v xml:space="preserve">  </v>
      </c>
      <c r="N122" s="89">
        <f t="shared" si="3"/>
        <v>0</v>
      </c>
      <c r="O122" s="89">
        <f t="shared" si="4"/>
        <v>1</v>
      </c>
    </row>
    <row r="123" spans="1:15" ht="18" hidden="1" customHeight="1">
      <c r="A123" s="88" t="str">
        <f>[1]XinMoi!A135</f>
        <v>109</v>
      </c>
      <c r="B123" s="98">
        <v>115</v>
      </c>
      <c r="C123" s="99">
        <f>VLOOKUP($B123,[1]XinMoi!$B:$J,C$8,0)</f>
        <v>0</v>
      </c>
      <c r="D123" s="100">
        <f>VLOOKUP($B123,[1]XinMoi!$B:$P,D$8,0)</f>
        <v>0</v>
      </c>
      <c r="E123" s="101">
        <f>VLOOKUP($B123,[1]XinMoi!$B:$P,E$8,0)</f>
        <v>0</v>
      </c>
      <c r="F123" s="102">
        <f>VLOOKUP($B123,[1]XinMoi!$B:$P,F$8,0)</f>
        <v>0</v>
      </c>
      <c r="G123" s="100">
        <f>VLOOKUP($B123,[1]XinMoi!$B:$P,G$8,0)</f>
        <v>0</v>
      </c>
      <c r="H123" s="100">
        <f>VLOOKUP($B123,[1]XinMoi!$B:$P,H$8,0)</f>
        <v>0</v>
      </c>
      <c r="I123" s="100">
        <f>VLOOKUP($B123,[1]XinMoi!$B:$P,I$8,0)</f>
        <v>0</v>
      </c>
      <c r="J123" s="100">
        <f>VLOOKUP($B123,[1]XinMoi!$B:$P,J$8,0)</f>
        <v>0</v>
      </c>
      <c r="K123" s="100" t="str">
        <f>VLOOKUP($B123,[1]XinMoi!$B:$P,K$8,0)</f>
        <v xml:space="preserve">  </v>
      </c>
      <c r="L123" s="100" t="str">
        <f>VLOOKUP($B123,[1]XinMoi!$B:$P,L$8,0)</f>
        <v xml:space="preserve">  </v>
      </c>
      <c r="M123" s="100" t="str">
        <f>VLOOKUP($B123,[1]XinMoi!$B:$Z,M$8,0)</f>
        <v xml:space="preserve">  </v>
      </c>
      <c r="N123" s="89">
        <f t="shared" si="3"/>
        <v>0</v>
      </c>
      <c r="O123" s="89">
        <f t="shared" si="4"/>
        <v>1</v>
      </c>
    </row>
    <row r="124" spans="1:15" ht="18" hidden="1" customHeight="1">
      <c r="A124" s="88" t="str">
        <f>[1]XinMoi!A136</f>
        <v>110</v>
      </c>
      <c r="B124" s="98">
        <v>116</v>
      </c>
      <c r="C124" s="99">
        <f>VLOOKUP($B124,[1]XinMoi!$B:$J,C$8,0)</f>
        <v>0</v>
      </c>
      <c r="D124" s="100">
        <f>VLOOKUP($B124,[1]XinMoi!$B:$P,D$8,0)</f>
        <v>0</v>
      </c>
      <c r="E124" s="101">
        <f>VLOOKUP($B124,[1]XinMoi!$B:$P,E$8,0)</f>
        <v>0</v>
      </c>
      <c r="F124" s="102">
        <f>VLOOKUP($B124,[1]XinMoi!$B:$P,F$8,0)</f>
        <v>0</v>
      </c>
      <c r="G124" s="100">
        <f>VLOOKUP($B124,[1]XinMoi!$B:$P,G$8,0)</f>
        <v>0</v>
      </c>
      <c r="H124" s="100">
        <f>VLOOKUP($B124,[1]XinMoi!$B:$P,H$8,0)</f>
        <v>0</v>
      </c>
      <c r="I124" s="100">
        <f>VLOOKUP($B124,[1]XinMoi!$B:$P,I$8,0)</f>
        <v>0</v>
      </c>
      <c r="J124" s="100">
        <f>VLOOKUP($B124,[1]XinMoi!$B:$P,J$8,0)</f>
        <v>0</v>
      </c>
      <c r="K124" s="100" t="str">
        <f>VLOOKUP($B124,[1]XinMoi!$B:$P,K$8,0)</f>
        <v xml:space="preserve">  </v>
      </c>
      <c r="L124" s="100" t="str">
        <f>VLOOKUP($B124,[1]XinMoi!$B:$P,L$8,0)</f>
        <v xml:space="preserve">  </v>
      </c>
      <c r="M124" s="100" t="str">
        <f>VLOOKUP($B124,[1]XinMoi!$B:$Z,M$8,0)</f>
        <v xml:space="preserve">  </v>
      </c>
      <c r="N124" s="89">
        <f t="shared" si="3"/>
        <v>0</v>
      </c>
      <c r="O124" s="89">
        <f t="shared" si="4"/>
        <v>1</v>
      </c>
    </row>
    <row r="125" spans="1:15" ht="18" hidden="1" customHeight="1">
      <c r="A125" s="88" t="str">
        <f>[1]XinMoi!A137</f>
        <v>111</v>
      </c>
      <c r="B125" s="98">
        <v>117</v>
      </c>
      <c r="C125" s="99">
        <f>VLOOKUP($B125,[1]XinMoi!$B:$J,C$8,0)</f>
        <v>0</v>
      </c>
      <c r="D125" s="100">
        <f>VLOOKUP($B125,[1]XinMoi!$B:$P,D$8,0)</f>
        <v>0</v>
      </c>
      <c r="E125" s="101">
        <f>VLOOKUP($B125,[1]XinMoi!$B:$P,E$8,0)</f>
        <v>0</v>
      </c>
      <c r="F125" s="102">
        <f>VLOOKUP($B125,[1]XinMoi!$B:$P,F$8,0)</f>
        <v>0</v>
      </c>
      <c r="G125" s="100">
        <f>VLOOKUP($B125,[1]XinMoi!$B:$P,G$8,0)</f>
        <v>0</v>
      </c>
      <c r="H125" s="100">
        <f>VLOOKUP($B125,[1]XinMoi!$B:$P,H$8,0)</f>
        <v>0</v>
      </c>
      <c r="I125" s="100">
        <f>VLOOKUP($B125,[1]XinMoi!$B:$P,I$8,0)</f>
        <v>0</v>
      </c>
      <c r="J125" s="100">
        <f>VLOOKUP($B125,[1]XinMoi!$B:$P,J$8,0)</f>
        <v>0</v>
      </c>
      <c r="K125" s="100" t="str">
        <f>VLOOKUP($B125,[1]XinMoi!$B:$P,K$8,0)</f>
        <v xml:space="preserve">  </v>
      </c>
      <c r="L125" s="100" t="str">
        <f>VLOOKUP($B125,[1]XinMoi!$B:$P,L$8,0)</f>
        <v xml:space="preserve">  </v>
      </c>
      <c r="M125" s="100" t="str">
        <f>VLOOKUP($B125,[1]XinMoi!$B:$Z,M$8,0)</f>
        <v xml:space="preserve">  </v>
      </c>
      <c r="N125" s="89">
        <f t="shared" si="3"/>
        <v>0</v>
      </c>
      <c r="O125" s="89">
        <f t="shared" si="4"/>
        <v>1</v>
      </c>
    </row>
    <row r="126" spans="1:15" ht="18" hidden="1" customHeight="1">
      <c r="A126" s="88" t="str">
        <f>[1]XinMoi!A138</f>
        <v>112</v>
      </c>
      <c r="B126" s="98">
        <v>118</v>
      </c>
      <c r="C126" s="99">
        <f>VLOOKUP($B126,[1]XinMoi!$B:$J,C$8,0)</f>
        <v>0</v>
      </c>
      <c r="D126" s="100">
        <f>VLOOKUP($B126,[1]XinMoi!$B:$P,D$8,0)</f>
        <v>0</v>
      </c>
      <c r="E126" s="101">
        <f>VLOOKUP($B126,[1]XinMoi!$B:$P,E$8,0)</f>
        <v>0</v>
      </c>
      <c r="F126" s="102">
        <f>VLOOKUP($B126,[1]XinMoi!$B:$P,F$8,0)</f>
        <v>0</v>
      </c>
      <c r="G126" s="100">
        <f>VLOOKUP($B126,[1]XinMoi!$B:$P,G$8,0)</f>
        <v>0</v>
      </c>
      <c r="H126" s="100">
        <f>VLOOKUP($B126,[1]XinMoi!$B:$P,H$8,0)</f>
        <v>0</v>
      </c>
      <c r="I126" s="100">
        <f>VLOOKUP($B126,[1]XinMoi!$B:$P,I$8,0)</f>
        <v>0</v>
      </c>
      <c r="J126" s="100">
        <f>VLOOKUP($B126,[1]XinMoi!$B:$P,J$8,0)</f>
        <v>0</v>
      </c>
      <c r="K126" s="100" t="str">
        <f>VLOOKUP($B126,[1]XinMoi!$B:$P,K$8,0)</f>
        <v xml:space="preserve">  </v>
      </c>
      <c r="L126" s="100" t="str">
        <f>VLOOKUP($B126,[1]XinMoi!$B:$P,L$8,0)</f>
        <v xml:space="preserve">  </v>
      </c>
      <c r="M126" s="100" t="str">
        <f>VLOOKUP($B126,[1]XinMoi!$B:$Z,M$8,0)</f>
        <v xml:space="preserve">  </v>
      </c>
      <c r="N126" s="89">
        <f t="shared" si="3"/>
        <v>0</v>
      </c>
      <c r="O126" s="89">
        <f t="shared" si="4"/>
        <v>1</v>
      </c>
    </row>
    <row r="127" spans="1:15" ht="18" hidden="1" customHeight="1">
      <c r="A127" s="88" t="str">
        <f>[1]XinMoi!A139</f>
        <v>113</v>
      </c>
      <c r="B127" s="98">
        <v>119</v>
      </c>
      <c r="C127" s="99">
        <f>VLOOKUP($B127,[1]XinMoi!$B:$J,C$8,0)</f>
        <v>0</v>
      </c>
      <c r="D127" s="100">
        <f>VLOOKUP($B127,[1]XinMoi!$B:$P,D$8,0)</f>
        <v>0</v>
      </c>
      <c r="E127" s="101">
        <f>VLOOKUP($B127,[1]XinMoi!$B:$P,E$8,0)</f>
        <v>0</v>
      </c>
      <c r="F127" s="102">
        <f>VLOOKUP($B127,[1]XinMoi!$B:$P,F$8,0)</f>
        <v>0</v>
      </c>
      <c r="G127" s="100">
        <f>VLOOKUP($B127,[1]XinMoi!$B:$P,G$8,0)</f>
        <v>0</v>
      </c>
      <c r="H127" s="100">
        <f>VLOOKUP($B127,[1]XinMoi!$B:$P,H$8,0)</f>
        <v>0</v>
      </c>
      <c r="I127" s="100">
        <f>VLOOKUP($B127,[1]XinMoi!$B:$P,I$8,0)</f>
        <v>0</v>
      </c>
      <c r="J127" s="100">
        <f>VLOOKUP($B127,[1]XinMoi!$B:$P,J$8,0)</f>
        <v>0</v>
      </c>
      <c r="K127" s="100" t="str">
        <f>VLOOKUP($B127,[1]XinMoi!$B:$P,K$8,0)</f>
        <v xml:space="preserve">  </v>
      </c>
      <c r="L127" s="100" t="str">
        <f>VLOOKUP($B127,[1]XinMoi!$B:$P,L$8,0)</f>
        <v xml:space="preserve">  </v>
      </c>
      <c r="M127" s="100" t="str">
        <f>VLOOKUP($B127,[1]XinMoi!$B:$Z,M$8,0)</f>
        <v xml:space="preserve">  </v>
      </c>
      <c r="N127" s="89">
        <f t="shared" si="3"/>
        <v>0</v>
      </c>
      <c r="O127" s="89">
        <f t="shared" si="4"/>
        <v>1</v>
      </c>
    </row>
    <row r="128" spans="1:15" ht="18" hidden="1" customHeight="1">
      <c r="A128" s="88" t="str">
        <f>[1]XinMoi!A140</f>
        <v>114</v>
      </c>
      <c r="B128" s="98">
        <v>120</v>
      </c>
      <c r="C128" s="99">
        <f>VLOOKUP($B128,[1]XinMoi!$B:$J,C$8,0)</f>
        <v>0</v>
      </c>
      <c r="D128" s="100">
        <f>VLOOKUP($B128,[1]XinMoi!$B:$P,D$8,0)</f>
        <v>0</v>
      </c>
      <c r="E128" s="101" t="str">
        <f>VLOOKUP($B128,[1]XinMoi!$B:$P,E$8,0)</f>
        <v/>
      </c>
      <c r="F128" s="102" t="str">
        <f>VLOOKUP($B128,[1]XinMoi!$B:$P,F$8,0)</f>
        <v/>
      </c>
      <c r="G128" s="100">
        <f>VLOOKUP($B128,[1]XinMoi!$B:$P,G$8,0)</f>
        <v>0</v>
      </c>
      <c r="H128" s="100">
        <f>VLOOKUP($B128,[1]XinMoi!$B:$P,H$8,0)</f>
        <v>0</v>
      </c>
      <c r="I128" s="100">
        <f>VLOOKUP($B128,[1]XinMoi!$B:$P,I$8,0)</f>
        <v>0</v>
      </c>
      <c r="J128" s="100">
        <f>VLOOKUP($B128,[1]XinMoi!$B:$P,J$8,0)</f>
        <v>0</v>
      </c>
      <c r="K128" s="100" t="str">
        <f>VLOOKUP($B128,[1]XinMoi!$B:$P,K$8,0)</f>
        <v xml:space="preserve">  </v>
      </c>
      <c r="L128" s="100" t="str">
        <f>VLOOKUP($B128,[1]XinMoi!$B:$P,L$8,0)</f>
        <v xml:space="preserve">  </v>
      </c>
      <c r="M128" s="100" t="str">
        <f>VLOOKUP($B128,[1]XinMoi!$B:$Z,M$8,0)</f>
        <v xml:space="preserve">  </v>
      </c>
      <c r="N128" s="89">
        <f t="shared" si="3"/>
        <v>0</v>
      </c>
      <c r="O128" s="89">
        <f t="shared" si="4"/>
        <v>1</v>
      </c>
    </row>
    <row r="129" spans="1:15" ht="18" hidden="1" customHeight="1">
      <c r="A129" s="88" t="str">
        <f>[1]XinMoi!A141</f>
        <v>115</v>
      </c>
      <c r="B129" s="98">
        <v>121</v>
      </c>
      <c r="C129" s="99">
        <f>VLOOKUP($B129,[1]XinMoi!$B:$J,C$8,0)</f>
        <v>0</v>
      </c>
      <c r="D129" s="100">
        <f>VLOOKUP($B129,[1]XinMoi!$B:$P,D$8,0)</f>
        <v>0</v>
      </c>
      <c r="E129" s="101" t="str">
        <f>VLOOKUP($B129,[1]XinMoi!$B:$P,E$8,0)</f>
        <v/>
      </c>
      <c r="F129" s="102" t="str">
        <f>VLOOKUP($B129,[1]XinMoi!$B:$P,F$8,0)</f>
        <v/>
      </c>
      <c r="G129" s="100">
        <f>VLOOKUP($B129,[1]XinMoi!$B:$P,G$8,0)</f>
        <v>0</v>
      </c>
      <c r="H129" s="100">
        <f>VLOOKUP($B129,[1]XinMoi!$B:$P,H$8,0)</f>
        <v>0</v>
      </c>
      <c r="I129" s="100">
        <f>VLOOKUP($B129,[1]XinMoi!$B:$P,I$8,0)</f>
        <v>0</v>
      </c>
      <c r="J129" s="100">
        <f>VLOOKUP($B129,[1]XinMoi!$B:$P,J$8,0)</f>
        <v>0</v>
      </c>
      <c r="K129" s="100" t="str">
        <f>VLOOKUP($B129,[1]XinMoi!$B:$P,K$8,0)</f>
        <v xml:space="preserve">  </v>
      </c>
      <c r="L129" s="100" t="str">
        <f>VLOOKUP($B129,[1]XinMoi!$B:$P,L$8,0)</f>
        <v xml:space="preserve">  </v>
      </c>
      <c r="M129" s="100" t="str">
        <f>VLOOKUP($B129,[1]XinMoi!$B:$Z,M$8,0)</f>
        <v xml:space="preserve">  </v>
      </c>
      <c r="N129" s="89">
        <f t="shared" si="3"/>
        <v>0</v>
      </c>
      <c r="O129" s="89">
        <f t="shared" si="4"/>
        <v>1</v>
      </c>
    </row>
    <row r="130" spans="1:15" ht="18" hidden="1" customHeight="1">
      <c r="A130" s="88" t="str">
        <f>[1]XinMoi!A142</f>
        <v>116</v>
      </c>
      <c r="B130" s="98">
        <v>122</v>
      </c>
      <c r="C130" s="99">
        <f>VLOOKUP($B130,[1]XinMoi!$B:$J,C$8,0)</f>
        <v>0</v>
      </c>
      <c r="D130" s="100">
        <f>VLOOKUP($B130,[1]XinMoi!$B:$P,D$8,0)</f>
        <v>0</v>
      </c>
      <c r="E130" s="101" t="str">
        <f>VLOOKUP($B130,[1]XinMoi!$B:$P,E$8,0)</f>
        <v/>
      </c>
      <c r="F130" s="102" t="str">
        <f>VLOOKUP($B130,[1]XinMoi!$B:$P,F$8,0)</f>
        <v/>
      </c>
      <c r="G130" s="100">
        <f>VLOOKUP($B130,[1]XinMoi!$B:$P,G$8,0)</f>
        <v>0</v>
      </c>
      <c r="H130" s="100">
        <f>VLOOKUP($B130,[1]XinMoi!$B:$P,H$8,0)</f>
        <v>0</v>
      </c>
      <c r="I130" s="100">
        <f>VLOOKUP($B130,[1]XinMoi!$B:$P,I$8,0)</f>
        <v>0</v>
      </c>
      <c r="J130" s="100">
        <f>VLOOKUP($B130,[1]XinMoi!$B:$P,J$8,0)</f>
        <v>0</v>
      </c>
      <c r="K130" s="100" t="str">
        <f>VLOOKUP($B130,[1]XinMoi!$B:$P,K$8,0)</f>
        <v xml:space="preserve">  </v>
      </c>
      <c r="L130" s="100" t="str">
        <f>VLOOKUP($B130,[1]XinMoi!$B:$P,L$8,0)</f>
        <v xml:space="preserve">  </v>
      </c>
      <c r="M130" s="100" t="str">
        <f>VLOOKUP($B130,[1]XinMoi!$B:$Z,M$8,0)</f>
        <v xml:space="preserve">  </v>
      </c>
      <c r="N130" s="89">
        <f t="shared" si="3"/>
        <v>0</v>
      </c>
      <c r="O130" s="89">
        <f t="shared" si="4"/>
        <v>1</v>
      </c>
    </row>
    <row r="131" spans="1:15" ht="18" hidden="1" customHeight="1">
      <c r="A131" s="88" t="str">
        <f>[1]XinMoi!A143</f>
        <v>117</v>
      </c>
      <c r="B131" s="98">
        <v>123</v>
      </c>
      <c r="C131" s="99">
        <f>VLOOKUP($B131,[1]XinMoi!$B:$J,C$8,0)</f>
        <v>0</v>
      </c>
      <c r="D131" s="100">
        <f>VLOOKUP($B131,[1]XinMoi!$B:$P,D$8,0)</f>
        <v>0</v>
      </c>
      <c r="E131" s="101" t="str">
        <f>VLOOKUP($B131,[1]XinMoi!$B:$P,E$8,0)</f>
        <v/>
      </c>
      <c r="F131" s="102" t="str">
        <f>VLOOKUP($B131,[1]XinMoi!$B:$P,F$8,0)</f>
        <v/>
      </c>
      <c r="G131" s="100">
        <f>VLOOKUP($B131,[1]XinMoi!$B:$P,G$8,0)</f>
        <v>0</v>
      </c>
      <c r="H131" s="100">
        <f>VLOOKUP($B131,[1]XinMoi!$B:$P,H$8,0)</f>
        <v>0</v>
      </c>
      <c r="I131" s="100">
        <f>VLOOKUP($B131,[1]XinMoi!$B:$P,I$8,0)</f>
        <v>0</v>
      </c>
      <c r="J131" s="100">
        <f>VLOOKUP($B131,[1]XinMoi!$B:$P,J$8,0)</f>
        <v>0</v>
      </c>
      <c r="K131" s="100" t="str">
        <f>VLOOKUP($B131,[1]XinMoi!$B:$P,K$8,0)</f>
        <v xml:space="preserve">  </v>
      </c>
      <c r="L131" s="100" t="str">
        <f>VLOOKUP($B131,[1]XinMoi!$B:$P,L$8,0)</f>
        <v xml:space="preserve">  </v>
      </c>
      <c r="M131" s="100" t="str">
        <f>VLOOKUP($B131,[1]XinMoi!$B:$Z,M$8,0)</f>
        <v xml:space="preserve">  </v>
      </c>
      <c r="N131" s="89">
        <f t="shared" si="3"/>
        <v>0</v>
      </c>
      <c r="O131" s="89">
        <f t="shared" si="4"/>
        <v>1</v>
      </c>
    </row>
    <row r="132" spans="1:15" ht="18" hidden="1" customHeight="1">
      <c r="A132" s="88" t="str">
        <f>[1]XinMoi!A144</f>
        <v>118</v>
      </c>
      <c r="B132" s="98">
        <v>124</v>
      </c>
      <c r="C132" s="99">
        <f>VLOOKUP($B132,[1]XinMoi!$B:$J,C$8,0)</f>
        <v>0</v>
      </c>
      <c r="D132" s="100">
        <f>VLOOKUP($B132,[1]XinMoi!$B:$P,D$8,0)</f>
        <v>0</v>
      </c>
      <c r="E132" s="101" t="str">
        <f>VLOOKUP($B132,[1]XinMoi!$B:$P,E$8,0)</f>
        <v/>
      </c>
      <c r="F132" s="102" t="str">
        <f>VLOOKUP($B132,[1]XinMoi!$B:$P,F$8,0)</f>
        <v/>
      </c>
      <c r="G132" s="100">
        <f>VLOOKUP($B132,[1]XinMoi!$B:$P,G$8,0)</f>
        <v>0</v>
      </c>
      <c r="H132" s="100">
        <f>VLOOKUP($B132,[1]XinMoi!$B:$P,H$8,0)</f>
        <v>0</v>
      </c>
      <c r="I132" s="100">
        <f>VLOOKUP($B132,[1]XinMoi!$B:$P,I$8,0)</f>
        <v>0</v>
      </c>
      <c r="J132" s="100">
        <f>VLOOKUP($B132,[1]XinMoi!$B:$P,J$8,0)</f>
        <v>0</v>
      </c>
      <c r="K132" s="100" t="str">
        <f>VLOOKUP($B132,[1]XinMoi!$B:$P,K$8,0)</f>
        <v xml:space="preserve">  </v>
      </c>
      <c r="L132" s="100" t="str">
        <f>VLOOKUP($B132,[1]XinMoi!$B:$P,L$8,0)</f>
        <v xml:space="preserve">  </v>
      </c>
      <c r="M132" s="100" t="str">
        <f>VLOOKUP($B132,[1]XinMoi!$B:$Z,M$8,0)</f>
        <v xml:space="preserve">  </v>
      </c>
      <c r="N132" s="89">
        <f t="shared" si="3"/>
        <v>0</v>
      </c>
      <c r="O132" s="89">
        <f t="shared" si="4"/>
        <v>1</v>
      </c>
    </row>
  </sheetData>
  <autoFilter ref="B6:N132">
    <filterColumn colId="3" showButton="0"/>
    <filterColumn colId="5" showButton="0"/>
    <filterColumn colId="6" showButton="0"/>
    <filterColumn colId="7" showButton="0"/>
    <filterColumn colId="9" showButton="0"/>
    <filterColumn colId="12">
      <customFilters>
        <customFilter operator="notEqual" val=" "/>
      </customFilters>
    </filterColumn>
  </autoFilter>
  <mergeCells count="9">
    <mergeCell ref="B4:M4"/>
    <mergeCell ref="B5:M5"/>
    <mergeCell ref="B6:B7"/>
    <mergeCell ref="C6:C7"/>
    <mergeCell ref="D6:D7"/>
    <mergeCell ref="E6:F6"/>
    <mergeCell ref="G6:J6"/>
    <mergeCell ref="K6:L6"/>
    <mergeCell ref="M6:M7"/>
  </mergeCells>
  <conditionalFormatting sqref="O1:O1048576">
    <cfRule type="cellIs" dxfId="0" priority="1" operator="between">
      <formula>1</formula>
      <formula>1</formula>
    </cfRule>
  </conditionalFormatting>
  <printOptions horizontalCentered="1"/>
  <pageMargins left="0.38" right="0.38" top="0.48" bottom="0.26" header="0" footer="0"/>
  <pageSetup paperSize="9" fitToWidth="0" fitToHeight="0" orientation="landscape" blackAndWhite="1"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U178"/>
  <sheetViews>
    <sheetView view="pageBreakPreview" topLeftCell="A7" zoomScale="70" zoomScaleNormal="100" zoomScaleSheetLayoutView="70" workbookViewId="0">
      <selection activeCell="D12" sqref="D12"/>
    </sheetView>
  </sheetViews>
  <sheetFormatPr defaultColWidth="9" defaultRowHeight="16.8" outlineLevelRow="1"/>
  <cols>
    <col min="1" max="1" width="4.90625" style="140" customWidth="1"/>
    <col min="2" max="2" width="29.453125" style="103" customWidth="1"/>
    <col min="3" max="3" width="6.6328125" style="107" customWidth="1"/>
    <col min="4" max="4" width="7.90625" style="141" customWidth="1"/>
    <col min="5" max="5" width="7.6328125" style="142" customWidth="1"/>
    <col min="6" max="6" width="13.90625" style="142" customWidth="1"/>
    <col min="7" max="7" width="9.90625" style="142" customWidth="1"/>
    <col min="8" max="12" width="9" style="104"/>
    <col min="13" max="18" width="9" style="103"/>
    <col min="19" max="19" width="12.1796875" style="103" customWidth="1"/>
    <col min="20" max="20" width="8.90625" style="103" customWidth="1"/>
    <col min="21" max="21" width="14.6328125" style="105" customWidth="1"/>
    <col min="22" max="22" width="11.90625" style="103" customWidth="1"/>
    <col min="23" max="23" width="6.453125" style="103" customWidth="1"/>
    <col min="24" max="24" width="7.1796875" style="103" customWidth="1"/>
    <col min="25" max="255" width="8.90625" style="103" customWidth="1"/>
  </cols>
  <sheetData>
    <row r="1" spans="1:27" outlineLevel="1">
      <c r="A1" s="103"/>
      <c r="C1" s="103"/>
      <c r="D1" s="103"/>
      <c r="E1" s="103"/>
      <c r="F1" s="103"/>
      <c r="G1" s="103"/>
    </row>
    <row r="2" spans="1:27" outlineLevel="1">
      <c r="A2" s="103"/>
      <c r="C2" s="103"/>
      <c r="D2" s="103"/>
      <c r="E2" s="103"/>
      <c r="F2" s="103"/>
      <c r="G2" s="103"/>
    </row>
    <row r="3" spans="1:27" outlineLevel="1">
      <c r="A3" s="106"/>
      <c r="B3" s="106"/>
      <c r="D3" s="103"/>
      <c r="E3" s="103"/>
      <c r="F3" s="103"/>
      <c r="G3" s="103"/>
    </row>
    <row r="4" spans="1:27" outlineLevel="1">
      <c r="A4" s="103"/>
      <c r="D4" s="108"/>
      <c r="E4" s="109"/>
      <c r="F4" s="109"/>
      <c r="G4" s="109"/>
    </row>
    <row r="5" spans="1:27" outlineLevel="1">
      <c r="A5" s="103"/>
      <c r="C5" s="103"/>
      <c r="D5" s="103"/>
      <c r="E5" s="103"/>
      <c r="F5" s="103"/>
      <c r="G5" s="103"/>
      <c r="H5" s="103"/>
    </row>
    <row r="6" spans="1:27" ht="11.25" customHeight="1" outlineLevel="1">
      <c r="A6" s="107"/>
      <c r="B6" s="107"/>
      <c r="D6" s="108"/>
      <c r="E6" s="109"/>
      <c r="F6" s="109"/>
      <c r="G6" s="109"/>
      <c r="H6" s="103"/>
      <c r="I6" s="103"/>
      <c r="J6" s="103"/>
      <c r="K6" s="103"/>
      <c r="L6" s="103"/>
    </row>
    <row r="7" spans="1:27" ht="28.5" customHeight="1" outlineLevel="1">
      <c r="A7" s="265" t="s">
        <v>84</v>
      </c>
      <c r="B7" s="265"/>
      <c r="C7" s="265"/>
      <c r="D7" s="265"/>
      <c r="E7" s="265"/>
      <c r="F7" s="265"/>
      <c r="G7" s="265"/>
      <c r="H7" s="103"/>
      <c r="I7" s="103"/>
      <c r="J7" s="103"/>
      <c r="K7" s="103"/>
      <c r="L7" s="103"/>
    </row>
    <row r="8" spans="1:27" ht="32.25" customHeight="1" outlineLevel="1">
      <c r="A8" s="266" t="str">
        <f>'10.QTOAN'!B4</f>
        <v>Công Trình: CÔNG TY TNHH
THU LỘC.</v>
      </c>
      <c r="B8" s="266"/>
      <c r="C8" s="266"/>
      <c r="D8" s="266"/>
      <c r="E8" s="266"/>
      <c r="F8" s="266"/>
      <c r="G8" s="266"/>
      <c r="H8" s="103"/>
      <c r="I8" s="103"/>
      <c r="J8" s="103"/>
      <c r="K8" s="103"/>
      <c r="L8" s="103"/>
    </row>
    <row r="9" spans="1:27" ht="21.75" customHeight="1">
      <c r="A9" s="267" t="s">
        <v>0</v>
      </c>
      <c r="B9" s="267" t="s">
        <v>44</v>
      </c>
      <c r="C9" s="268" t="s">
        <v>45</v>
      </c>
      <c r="D9" s="269" t="s">
        <v>85</v>
      </c>
      <c r="E9" s="267" t="s">
        <v>86</v>
      </c>
      <c r="F9" s="267"/>
      <c r="G9" s="267" t="s">
        <v>87</v>
      </c>
      <c r="H9" s="103"/>
      <c r="I9" s="263" t="s">
        <v>88</v>
      </c>
      <c r="J9" s="263" t="s">
        <v>89</v>
      </c>
      <c r="K9" s="103"/>
      <c r="L9" s="103"/>
      <c r="S9" s="103" t="s">
        <v>28</v>
      </c>
    </row>
    <row r="10" spans="1:27" s="111" customFormat="1" ht="25.5" customHeight="1">
      <c r="A10" s="267"/>
      <c r="B10" s="267"/>
      <c r="C10" s="268"/>
      <c r="D10" s="270"/>
      <c r="E10" s="110" t="s">
        <v>90</v>
      </c>
      <c r="F10" s="110" t="s">
        <v>91</v>
      </c>
      <c r="G10" s="267"/>
      <c r="I10" s="263"/>
      <c r="J10" s="264"/>
      <c r="S10" s="111">
        <v>1</v>
      </c>
    </row>
    <row r="11" spans="1:27" s="111" customFormat="1" ht="25.5" hidden="1" customHeight="1">
      <c r="A11" s="112"/>
      <c r="B11" s="112">
        <v>3</v>
      </c>
      <c r="C11" s="113">
        <f>[1]ThuHoi!K2</f>
        <v>10</v>
      </c>
      <c r="D11" s="114">
        <f>[1]ThuHoi!J2</f>
        <v>9</v>
      </c>
      <c r="E11" s="115">
        <v>13</v>
      </c>
      <c r="F11" s="115">
        <v>14</v>
      </c>
      <c r="G11" s="112"/>
      <c r="I11" s="116"/>
      <c r="J11" s="117"/>
    </row>
    <row r="12" spans="1:27" s="111" customFormat="1" ht="29.25" customHeight="1">
      <c r="A12" s="118">
        <v>1</v>
      </c>
      <c r="B12" s="48" t="e">
        <f t="shared" ref="B12:F27" si="0">VLOOKUP($A12,thuhoi,B$11,0)</f>
        <v>#NAME?</v>
      </c>
      <c r="C12" s="49" t="e">
        <f t="shared" si="0"/>
        <v>#NAME?</v>
      </c>
      <c r="D12" s="119" t="e">
        <f t="shared" si="0"/>
        <v>#NAME?</v>
      </c>
      <c r="E12" s="120" t="e">
        <f t="shared" si="0"/>
        <v>#NAME?</v>
      </c>
      <c r="F12" s="121" t="e">
        <f t="shared" si="0"/>
        <v>#NAME?</v>
      </c>
      <c r="G12" s="48"/>
      <c r="I12" s="116"/>
      <c r="J12" s="117"/>
      <c r="S12" s="111" t="e">
        <f>IF(D12&gt;0,1,0)</f>
        <v>#NAME?</v>
      </c>
    </row>
    <row r="13" spans="1:27" s="111" customFormat="1" ht="29.25" hidden="1" customHeight="1">
      <c r="A13" s="118">
        <v>2</v>
      </c>
      <c r="B13" s="48" t="e">
        <f t="shared" si="0"/>
        <v>#NAME?</v>
      </c>
      <c r="C13" s="49" t="e">
        <f t="shared" si="0"/>
        <v>#NAME?</v>
      </c>
      <c r="D13" s="122" t="e">
        <f t="shared" si="0"/>
        <v>#NAME?</v>
      </c>
      <c r="E13" s="120" t="e">
        <f t="shared" si="0"/>
        <v>#NAME?</v>
      </c>
      <c r="F13" s="121" t="e">
        <f t="shared" si="0"/>
        <v>#NAME?</v>
      </c>
      <c r="G13" s="48"/>
      <c r="I13" s="116"/>
      <c r="J13" s="117"/>
      <c r="S13" s="111" t="e">
        <f t="shared" ref="S13:S31" si="1">IF(D13&gt;0,1,0)</f>
        <v>#NAME?</v>
      </c>
    </row>
    <row r="14" spans="1:27" s="111" customFormat="1" ht="29.25" hidden="1" customHeight="1">
      <c r="A14" s="118">
        <v>3</v>
      </c>
      <c r="B14" s="48" t="e">
        <f t="shared" si="0"/>
        <v>#NAME?</v>
      </c>
      <c r="C14" s="49" t="e">
        <f t="shared" si="0"/>
        <v>#NAME?</v>
      </c>
      <c r="D14" s="49" t="e">
        <f t="shared" si="0"/>
        <v>#NAME?</v>
      </c>
      <c r="E14" s="120" t="e">
        <f t="shared" si="0"/>
        <v>#NAME?</v>
      </c>
      <c r="F14" s="121" t="e">
        <f t="shared" si="0"/>
        <v>#NAME?</v>
      </c>
      <c r="G14" s="48"/>
      <c r="I14" s="116"/>
      <c r="J14" s="117"/>
      <c r="S14" s="111" t="e">
        <f t="shared" si="1"/>
        <v>#NAME?</v>
      </c>
    </row>
    <row r="15" spans="1:27" s="111" customFormat="1" ht="29.25" hidden="1" customHeight="1">
      <c r="A15" s="118">
        <v>4</v>
      </c>
      <c r="B15" s="48" t="e">
        <f t="shared" si="0"/>
        <v>#NAME?</v>
      </c>
      <c r="C15" s="49" t="e">
        <f t="shared" si="0"/>
        <v>#NAME?</v>
      </c>
      <c r="D15" s="49" t="e">
        <f t="shared" si="0"/>
        <v>#NAME?</v>
      </c>
      <c r="E15" s="120" t="e">
        <f t="shared" si="0"/>
        <v>#NAME?</v>
      </c>
      <c r="F15" s="121" t="e">
        <f t="shared" si="0"/>
        <v>#NAME?</v>
      </c>
      <c r="G15" s="48"/>
      <c r="I15" s="116"/>
      <c r="J15" s="117"/>
      <c r="S15" s="111" t="e">
        <f t="shared" si="1"/>
        <v>#NAME?</v>
      </c>
      <c r="V15" s="123"/>
      <c r="W15" s="123"/>
      <c r="X15" s="123"/>
      <c r="Y15" s="123"/>
      <c r="Z15" s="123"/>
      <c r="AA15" s="123"/>
    </row>
    <row r="16" spans="1:27" s="111" customFormat="1" ht="29.25" hidden="1" customHeight="1">
      <c r="A16" s="118">
        <v>5</v>
      </c>
      <c r="B16" s="48" t="e">
        <f t="shared" si="0"/>
        <v>#NAME?</v>
      </c>
      <c r="C16" s="49" t="e">
        <f t="shared" si="0"/>
        <v>#NAME?</v>
      </c>
      <c r="D16" s="49" t="e">
        <f t="shared" si="0"/>
        <v>#NAME?</v>
      </c>
      <c r="E16" s="120" t="e">
        <f t="shared" si="0"/>
        <v>#NAME?</v>
      </c>
      <c r="F16" s="121" t="e">
        <f t="shared" si="0"/>
        <v>#NAME?</v>
      </c>
      <c r="G16" s="48"/>
      <c r="I16" s="116"/>
      <c r="J16" s="117"/>
      <c r="S16" s="111" t="e">
        <f t="shared" si="1"/>
        <v>#NAME?</v>
      </c>
      <c r="V16" s="123"/>
      <c r="W16" s="123"/>
      <c r="X16" s="123"/>
      <c r="Y16" s="123"/>
      <c r="Z16" s="123"/>
      <c r="AA16" s="123"/>
    </row>
    <row r="17" spans="1:27" s="111" customFormat="1" ht="35.25" hidden="1" customHeight="1">
      <c r="A17" s="118">
        <v>6</v>
      </c>
      <c r="B17" s="48" t="e">
        <f t="shared" si="0"/>
        <v>#NAME?</v>
      </c>
      <c r="C17" s="49" t="e">
        <f t="shared" si="0"/>
        <v>#NAME?</v>
      </c>
      <c r="D17" s="49" t="e">
        <f t="shared" si="0"/>
        <v>#NAME?</v>
      </c>
      <c r="E17" s="120" t="e">
        <f t="shared" si="0"/>
        <v>#NAME?</v>
      </c>
      <c r="F17" s="121" t="e">
        <f t="shared" si="0"/>
        <v>#NAME?</v>
      </c>
      <c r="G17" s="48"/>
      <c r="I17" s="124"/>
      <c r="J17" s="125"/>
      <c r="S17" s="111" t="e">
        <f t="shared" si="1"/>
        <v>#NAME?</v>
      </c>
      <c r="V17" s="126"/>
      <c r="W17" s="127"/>
      <c r="X17" s="127"/>
      <c r="Y17" s="128"/>
      <c r="Z17" s="129"/>
      <c r="AA17" s="127"/>
    </row>
    <row r="18" spans="1:27" s="111" customFormat="1" ht="29.25" hidden="1" customHeight="1">
      <c r="A18" s="118">
        <v>7</v>
      </c>
      <c r="B18" s="48" t="e">
        <f t="shared" si="0"/>
        <v>#NAME?</v>
      </c>
      <c r="C18" s="49" t="e">
        <f t="shared" si="0"/>
        <v>#NAME?</v>
      </c>
      <c r="D18" s="49" t="e">
        <f t="shared" si="0"/>
        <v>#NAME?</v>
      </c>
      <c r="E18" s="120" t="e">
        <f t="shared" si="0"/>
        <v>#NAME?</v>
      </c>
      <c r="F18" s="121" t="e">
        <f t="shared" si="0"/>
        <v>#NAME?</v>
      </c>
      <c r="G18" s="48"/>
      <c r="I18" s="124"/>
      <c r="J18" s="125"/>
      <c r="S18" s="111" t="e">
        <f t="shared" si="1"/>
        <v>#NAME?</v>
      </c>
      <c r="V18" s="130"/>
      <c r="W18" s="131"/>
      <c r="X18" s="131"/>
      <c r="Y18" s="132"/>
      <c r="Z18" s="133"/>
      <c r="AA18" s="131"/>
    </row>
    <row r="19" spans="1:27" s="111" customFormat="1" ht="29.25" hidden="1" customHeight="1">
      <c r="A19" s="118">
        <v>8</v>
      </c>
      <c r="B19" s="48" t="e">
        <f t="shared" si="0"/>
        <v>#NAME?</v>
      </c>
      <c r="C19" s="49" t="e">
        <f t="shared" si="0"/>
        <v>#NAME?</v>
      </c>
      <c r="D19" s="49" t="e">
        <f t="shared" si="0"/>
        <v>#NAME?</v>
      </c>
      <c r="E19" s="120" t="e">
        <f t="shared" si="0"/>
        <v>#NAME?</v>
      </c>
      <c r="F19" s="121" t="e">
        <f t="shared" si="0"/>
        <v>#NAME?</v>
      </c>
      <c r="G19" s="48"/>
      <c r="I19" s="124"/>
      <c r="J19" s="125"/>
      <c r="S19" s="111" t="e">
        <f t="shared" si="1"/>
        <v>#NAME?</v>
      </c>
      <c r="V19" s="130"/>
      <c r="W19" s="131"/>
      <c r="X19" s="131"/>
      <c r="Y19" s="132"/>
      <c r="Z19" s="133"/>
      <c r="AA19" s="131"/>
    </row>
    <row r="20" spans="1:27" s="111" customFormat="1" ht="29.25" hidden="1" customHeight="1">
      <c r="A20" s="118">
        <v>9</v>
      </c>
      <c r="B20" s="48" t="e">
        <f t="shared" si="0"/>
        <v>#NAME?</v>
      </c>
      <c r="C20" s="49" t="e">
        <f t="shared" si="0"/>
        <v>#NAME?</v>
      </c>
      <c r="D20" s="49" t="e">
        <f t="shared" si="0"/>
        <v>#NAME?</v>
      </c>
      <c r="E20" s="49" t="e">
        <f t="shared" si="0"/>
        <v>#NAME?</v>
      </c>
      <c r="F20" s="121" t="e">
        <f t="shared" si="0"/>
        <v>#NAME?</v>
      </c>
      <c r="G20" s="48"/>
      <c r="I20" s="124"/>
      <c r="J20" s="125"/>
      <c r="S20" s="111" t="e">
        <f t="shared" si="1"/>
        <v>#NAME?</v>
      </c>
      <c r="V20" s="130"/>
      <c r="W20" s="131"/>
      <c r="X20" s="131"/>
      <c r="Y20" s="132"/>
      <c r="Z20" s="133"/>
      <c r="AA20" s="131"/>
    </row>
    <row r="21" spans="1:27" s="111" customFormat="1" ht="29.25" hidden="1" customHeight="1">
      <c r="A21" s="118">
        <v>10</v>
      </c>
      <c r="B21" s="48" t="e">
        <f t="shared" si="0"/>
        <v>#NAME?</v>
      </c>
      <c r="C21" s="49" t="e">
        <f t="shared" si="0"/>
        <v>#NAME?</v>
      </c>
      <c r="D21" s="49" t="e">
        <f t="shared" si="0"/>
        <v>#NAME?</v>
      </c>
      <c r="E21" s="49" t="e">
        <f t="shared" si="0"/>
        <v>#NAME?</v>
      </c>
      <c r="F21" s="121" t="e">
        <f t="shared" si="0"/>
        <v>#NAME?</v>
      </c>
      <c r="G21" s="48"/>
      <c r="I21" s="124"/>
      <c r="J21" s="125"/>
      <c r="S21" s="111" t="e">
        <f t="shared" si="1"/>
        <v>#NAME?</v>
      </c>
      <c r="V21" s="130"/>
      <c r="W21" s="131"/>
      <c r="X21" s="131"/>
      <c r="Y21" s="132"/>
      <c r="Z21" s="133"/>
      <c r="AA21" s="131"/>
    </row>
    <row r="22" spans="1:27" s="111" customFormat="1" ht="29.25" hidden="1" customHeight="1">
      <c r="A22" s="118">
        <v>11</v>
      </c>
      <c r="B22" s="48" t="e">
        <f t="shared" ref="B22:F31" si="2">VLOOKUP($A22,thuhoi,B$11,0)</f>
        <v>#NAME?</v>
      </c>
      <c r="C22" s="49" t="e">
        <f t="shared" si="2"/>
        <v>#NAME?</v>
      </c>
      <c r="D22" s="49" t="e">
        <f t="shared" si="2"/>
        <v>#NAME?</v>
      </c>
      <c r="E22" s="49" t="e">
        <f t="shared" si="2"/>
        <v>#NAME?</v>
      </c>
      <c r="F22" s="121" t="e">
        <f t="shared" si="0"/>
        <v>#NAME?</v>
      </c>
      <c r="G22" s="48"/>
      <c r="I22" s="124"/>
      <c r="J22" s="125"/>
      <c r="S22" s="111" t="e">
        <f t="shared" si="1"/>
        <v>#NAME?</v>
      </c>
      <c r="V22" s="130"/>
      <c r="W22" s="131"/>
      <c r="X22" s="131"/>
      <c r="Y22" s="132"/>
      <c r="Z22" s="133"/>
      <c r="AA22" s="131"/>
    </row>
    <row r="23" spans="1:27" s="111" customFormat="1" ht="29.25" hidden="1" customHeight="1">
      <c r="A23" s="118">
        <v>12</v>
      </c>
      <c r="B23" s="48" t="e">
        <f t="shared" si="2"/>
        <v>#NAME?</v>
      </c>
      <c r="C23" s="49" t="e">
        <f t="shared" si="2"/>
        <v>#NAME?</v>
      </c>
      <c r="D23" s="49" t="e">
        <f t="shared" si="2"/>
        <v>#NAME?</v>
      </c>
      <c r="E23" s="49" t="e">
        <f t="shared" si="2"/>
        <v>#NAME?</v>
      </c>
      <c r="F23" s="121" t="e">
        <f t="shared" si="0"/>
        <v>#NAME?</v>
      </c>
      <c r="G23" s="48"/>
      <c r="I23" s="124"/>
      <c r="J23" s="125"/>
      <c r="S23" s="111" t="e">
        <f t="shared" si="1"/>
        <v>#NAME?</v>
      </c>
      <c r="V23" s="130"/>
      <c r="W23" s="131"/>
      <c r="X23" s="131"/>
      <c r="Y23" s="132"/>
      <c r="Z23" s="133"/>
      <c r="AA23" s="131"/>
    </row>
    <row r="24" spans="1:27" s="111" customFormat="1" ht="29.25" hidden="1" customHeight="1">
      <c r="A24" s="118">
        <v>13</v>
      </c>
      <c r="B24" s="48" t="e">
        <f t="shared" si="2"/>
        <v>#NAME?</v>
      </c>
      <c r="C24" s="49" t="e">
        <f t="shared" si="2"/>
        <v>#NAME?</v>
      </c>
      <c r="D24" s="49" t="e">
        <f t="shared" si="2"/>
        <v>#NAME?</v>
      </c>
      <c r="E24" s="49" t="e">
        <f t="shared" si="2"/>
        <v>#NAME?</v>
      </c>
      <c r="F24" s="121" t="e">
        <f t="shared" si="0"/>
        <v>#NAME?</v>
      </c>
      <c r="G24" s="48"/>
      <c r="I24" s="124"/>
      <c r="J24" s="125"/>
      <c r="S24" s="111" t="e">
        <f t="shared" si="1"/>
        <v>#NAME?</v>
      </c>
      <c r="V24" s="130"/>
      <c r="W24" s="131"/>
      <c r="X24" s="131"/>
      <c r="Y24" s="132"/>
      <c r="Z24" s="133"/>
      <c r="AA24" s="131"/>
    </row>
    <row r="25" spans="1:27" s="111" customFormat="1" ht="29.25" hidden="1" customHeight="1">
      <c r="A25" s="118">
        <v>14</v>
      </c>
      <c r="B25" s="48" t="e">
        <f t="shared" si="2"/>
        <v>#NAME?</v>
      </c>
      <c r="C25" s="49" t="e">
        <f t="shared" si="2"/>
        <v>#NAME?</v>
      </c>
      <c r="D25" s="49" t="e">
        <f t="shared" si="2"/>
        <v>#NAME?</v>
      </c>
      <c r="E25" s="49" t="e">
        <f t="shared" si="2"/>
        <v>#NAME?</v>
      </c>
      <c r="F25" s="121" t="e">
        <f t="shared" si="0"/>
        <v>#NAME?</v>
      </c>
      <c r="G25" s="48"/>
      <c r="I25" s="124"/>
      <c r="J25" s="125"/>
      <c r="S25" s="111" t="e">
        <f t="shared" si="1"/>
        <v>#NAME?</v>
      </c>
      <c r="V25" s="130"/>
      <c r="W25" s="131"/>
      <c r="X25" s="131"/>
      <c r="Y25" s="132"/>
      <c r="Z25" s="133"/>
      <c r="AA25" s="131"/>
    </row>
    <row r="26" spans="1:27" s="111" customFormat="1" ht="29.25" hidden="1" customHeight="1">
      <c r="A26" s="118">
        <v>15</v>
      </c>
      <c r="B26" s="48" t="e">
        <f t="shared" si="2"/>
        <v>#NAME?</v>
      </c>
      <c r="C26" s="49" t="e">
        <f t="shared" si="2"/>
        <v>#NAME?</v>
      </c>
      <c r="D26" s="49" t="e">
        <f t="shared" si="2"/>
        <v>#NAME?</v>
      </c>
      <c r="E26" s="49" t="e">
        <f t="shared" si="2"/>
        <v>#NAME?</v>
      </c>
      <c r="F26" s="121" t="e">
        <f t="shared" si="0"/>
        <v>#NAME?</v>
      </c>
      <c r="G26" s="48"/>
      <c r="I26" s="124"/>
      <c r="J26" s="125"/>
      <c r="S26" s="111" t="e">
        <f t="shared" si="1"/>
        <v>#NAME?</v>
      </c>
      <c r="V26" s="130"/>
      <c r="W26" s="131"/>
      <c r="X26" s="131"/>
      <c r="Y26" s="132"/>
      <c r="Z26" s="133"/>
      <c r="AA26" s="131"/>
    </row>
    <row r="27" spans="1:27" s="111" customFormat="1" ht="29.25" hidden="1" customHeight="1">
      <c r="A27" s="118">
        <v>16</v>
      </c>
      <c r="B27" s="48" t="e">
        <f t="shared" si="2"/>
        <v>#NAME?</v>
      </c>
      <c r="C27" s="49" t="e">
        <f t="shared" si="2"/>
        <v>#NAME?</v>
      </c>
      <c r="D27" s="49" t="e">
        <f t="shared" si="2"/>
        <v>#NAME?</v>
      </c>
      <c r="E27" s="49" t="e">
        <f t="shared" si="2"/>
        <v>#NAME?</v>
      </c>
      <c r="F27" s="121" t="e">
        <f t="shared" si="0"/>
        <v>#NAME?</v>
      </c>
      <c r="G27" s="48"/>
      <c r="I27" s="124"/>
      <c r="J27" s="125"/>
      <c r="S27" s="111" t="e">
        <f t="shared" si="1"/>
        <v>#NAME?</v>
      </c>
      <c r="V27" s="130"/>
      <c r="W27" s="131"/>
      <c r="X27" s="131"/>
      <c r="Y27" s="132"/>
      <c r="Z27" s="133"/>
      <c r="AA27" s="131"/>
    </row>
    <row r="28" spans="1:27" s="111" customFormat="1" ht="29.25" hidden="1" customHeight="1">
      <c r="A28" s="118">
        <v>17</v>
      </c>
      <c r="B28" s="48" t="e">
        <f t="shared" si="2"/>
        <v>#NAME?</v>
      </c>
      <c r="C28" s="49" t="e">
        <f t="shared" si="2"/>
        <v>#NAME?</v>
      </c>
      <c r="D28" s="49" t="e">
        <f t="shared" si="2"/>
        <v>#NAME?</v>
      </c>
      <c r="E28" s="49" t="e">
        <f t="shared" si="2"/>
        <v>#NAME?</v>
      </c>
      <c r="F28" s="121" t="e">
        <f t="shared" si="2"/>
        <v>#NAME?</v>
      </c>
      <c r="G28" s="48"/>
      <c r="I28" s="124"/>
      <c r="J28" s="125"/>
      <c r="S28" s="111" t="e">
        <f t="shared" si="1"/>
        <v>#NAME?</v>
      </c>
      <c r="V28" s="130"/>
      <c r="W28" s="131"/>
      <c r="X28" s="131"/>
      <c r="Y28" s="132"/>
      <c r="Z28" s="133"/>
      <c r="AA28" s="131"/>
    </row>
    <row r="29" spans="1:27" s="111" customFormat="1" ht="29.25" hidden="1" customHeight="1">
      <c r="A29" s="118">
        <v>18</v>
      </c>
      <c r="B29" s="48" t="e">
        <f t="shared" si="2"/>
        <v>#NAME?</v>
      </c>
      <c r="C29" s="49" t="e">
        <f t="shared" si="2"/>
        <v>#NAME?</v>
      </c>
      <c r="D29" s="49" t="e">
        <f t="shared" si="2"/>
        <v>#NAME?</v>
      </c>
      <c r="E29" s="49" t="e">
        <f t="shared" si="2"/>
        <v>#NAME?</v>
      </c>
      <c r="F29" s="121" t="e">
        <f t="shared" si="2"/>
        <v>#NAME?</v>
      </c>
      <c r="G29" s="48"/>
      <c r="I29" s="124"/>
      <c r="J29" s="125"/>
      <c r="S29" s="111" t="e">
        <f t="shared" si="1"/>
        <v>#NAME?</v>
      </c>
      <c r="V29" s="130"/>
      <c r="W29" s="131"/>
      <c r="X29" s="131"/>
      <c r="Y29" s="132"/>
      <c r="Z29" s="133"/>
      <c r="AA29" s="131"/>
    </row>
    <row r="30" spans="1:27" s="111" customFormat="1" ht="29.25" hidden="1" customHeight="1">
      <c r="A30" s="118">
        <v>19</v>
      </c>
      <c r="B30" s="48" t="e">
        <f t="shared" si="2"/>
        <v>#NAME?</v>
      </c>
      <c r="C30" s="49" t="e">
        <f t="shared" si="2"/>
        <v>#NAME?</v>
      </c>
      <c r="D30" s="49" t="e">
        <f t="shared" si="2"/>
        <v>#NAME?</v>
      </c>
      <c r="E30" s="49" t="e">
        <f t="shared" si="2"/>
        <v>#NAME?</v>
      </c>
      <c r="F30" s="121" t="e">
        <f t="shared" si="2"/>
        <v>#NAME?</v>
      </c>
      <c r="G30" s="48"/>
      <c r="I30" s="124"/>
      <c r="J30" s="125"/>
      <c r="S30" s="111" t="e">
        <f t="shared" si="1"/>
        <v>#NAME?</v>
      </c>
      <c r="V30" s="130"/>
      <c r="W30" s="131"/>
      <c r="X30" s="131"/>
      <c r="Y30" s="132"/>
      <c r="Z30" s="133"/>
      <c r="AA30" s="131"/>
    </row>
    <row r="31" spans="1:27" s="111" customFormat="1" ht="29.25" hidden="1" customHeight="1">
      <c r="A31" s="118">
        <v>20</v>
      </c>
      <c r="B31" s="48" t="e">
        <f t="shared" si="2"/>
        <v>#NAME?</v>
      </c>
      <c r="C31" s="49" t="e">
        <f t="shared" si="2"/>
        <v>#NAME?</v>
      </c>
      <c r="D31" s="49" t="e">
        <f t="shared" si="2"/>
        <v>#NAME?</v>
      </c>
      <c r="E31" s="49" t="e">
        <f t="shared" si="2"/>
        <v>#NAME?</v>
      </c>
      <c r="F31" s="121" t="e">
        <f t="shared" si="2"/>
        <v>#NAME?</v>
      </c>
      <c r="G31" s="48"/>
      <c r="I31" s="124"/>
      <c r="J31" s="125"/>
      <c r="S31" s="111" t="e">
        <f t="shared" si="1"/>
        <v>#NAME?</v>
      </c>
      <c r="V31" s="130"/>
      <c r="W31" s="131"/>
      <c r="X31" s="131"/>
      <c r="Y31" s="132"/>
      <c r="Z31" s="133"/>
      <c r="AA31" s="131"/>
    </row>
    <row r="32" spans="1:27" s="111" customFormat="1" ht="9.75" customHeight="1">
      <c r="A32" s="134"/>
      <c r="B32" s="130"/>
      <c r="C32" s="131"/>
      <c r="D32" s="131"/>
      <c r="E32" s="135"/>
      <c r="F32" s="136"/>
      <c r="G32" s="131"/>
      <c r="I32" s="124"/>
      <c r="J32" s="125"/>
      <c r="V32" s="130"/>
      <c r="W32" s="131"/>
      <c r="X32" s="131"/>
      <c r="Y32" s="132"/>
      <c r="Z32" s="133"/>
      <c r="AA32" s="131"/>
    </row>
    <row r="33" spans="1:27" ht="16.5" customHeight="1" outlineLevel="1">
      <c r="A33" s="107"/>
      <c r="D33" s="108"/>
      <c r="E33" s="109"/>
      <c r="F33" s="109"/>
      <c r="G33" s="109"/>
      <c r="V33" s="137"/>
      <c r="W33" s="137"/>
      <c r="X33" s="137"/>
      <c r="Y33" s="137"/>
      <c r="Z33" s="137"/>
      <c r="AA33" s="137"/>
    </row>
    <row r="34" spans="1:27" ht="16.5" customHeight="1" outlineLevel="1">
      <c r="A34" s="107"/>
      <c r="D34" s="108"/>
      <c r="E34" s="109"/>
      <c r="F34" s="109"/>
      <c r="G34" s="109"/>
      <c r="V34" s="137"/>
      <c r="W34" s="137"/>
      <c r="X34" s="137"/>
      <c r="Y34" s="137"/>
      <c r="Z34" s="137"/>
      <c r="AA34" s="137"/>
    </row>
    <row r="35" spans="1:27" ht="16.5" customHeight="1" outlineLevel="1">
      <c r="A35" s="107"/>
      <c r="D35" s="108"/>
      <c r="E35" s="109"/>
      <c r="F35" s="109"/>
      <c r="G35" s="109"/>
      <c r="V35" s="137"/>
      <c r="W35" s="137"/>
      <c r="X35" s="137"/>
      <c r="Y35" s="137"/>
      <c r="Z35" s="137"/>
      <c r="AA35" s="137"/>
    </row>
    <row r="36" spans="1:27" ht="16.5" customHeight="1" outlineLevel="1">
      <c r="A36" s="107"/>
      <c r="D36" s="108"/>
      <c r="E36" s="109"/>
      <c r="F36" s="109"/>
      <c r="G36" s="109"/>
      <c r="V36" s="138"/>
      <c r="W36" s="138"/>
      <c r="X36" s="138"/>
      <c r="Y36" s="138"/>
      <c r="Z36" s="138"/>
      <c r="AA36" s="138"/>
    </row>
    <row r="37" spans="1:27" ht="16.5" customHeight="1" outlineLevel="1">
      <c r="A37" s="107"/>
      <c r="D37" s="108"/>
      <c r="E37" s="109"/>
      <c r="F37" s="109"/>
      <c r="G37" s="109"/>
    </row>
    <row r="38" spans="1:27" ht="16.5" customHeight="1" outlineLevel="1">
      <c r="A38" s="107"/>
      <c r="D38" s="108"/>
      <c r="E38" s="109"/>
      <c r="F38" s="109"/>
      <c r="G38" s="109"/>
    </row>
    <row r="39" spans="1:27" ht="16.5" customHeight="1" outlineLevel="1">
      <c r="A39" s="107"/>
      <c r="D39" s="108"/>
      <c r="E39" s="109"/>
      <c r="F39" s="109"/>
      <c r="G39" s="109"/>
    </row>
    <row r="40" spans="1:27" ht="16.5" customHeight="1" outlineLevel="1">
      <c r="A40" s="107"/>
      <c r="D40" s="108"/>
      <c r="E40" s="139"/>
      <c r="F40" s="109"/>
      <c r="G40" s="109"/>
    </row>
    <row r="41" spans="1:27" ht="16.5" customHeight="1" outlineLevel="1">
      <c r="A41" s="107"/>
      <c r="D41" s="108"/>
      <c r="E41" s="109"/>
      <c r="F41" s="109"/>
      <c r="G41" s="109"/>
    </row>
    <row r="42" spans="1:27" ht="16.5" customHeight="1" outlineLevel="1">
      <c r="A42" s="107"/>
      <c r="D42" s="108"/>
      <c r="E42" s="109"/>
      <c r="F42" s="109"/>
      <c r="G42" s="109"/>
    </row>
    <row r="43" spans="1:27" ht="16.5" customHeight="1" outlineLevel="1">
      <c r="A43" s="107"/>
      <c r="D43" s="108"/>
      <c r="E43" s="109"/>
      <c r="F43" s="109"/>
      <c r="G43" s="109"/>
      <c r="H43" s="103"/>
      <c r="I43" s="103"/>
      <c r="J43" s="103"/>
      <c r="K43" s="103"/>
      <c r="L43" s="103"/>
    </row>
    <row r="44" spans="1:27" ht="16.5" customHeight="1" outlineLevel="1">
      <c r="A44" s="107"/>
      <c r="D44" s="108"/>
      <c r="E44" s="109"/>
      <c r="F44" s="109"/>
      <c r="G44" s="109"/>
      <c r="H44" s="103"/>
      <c r="I44" s="103"/>
      <c r="J44" s="103"/>
      <c r="K44" s="103"/>
      <c r="L44" s="103"/>
    </row>
    <row r="45" spans="1:27" ht="16.5" customHeight="1" outlineLevel="1">
      <c r="A45" s="107"/>
      <c r="D45" s="108"/>
      <c r="E45" s="109"/>
      <c r="F45" s="109"/>
      <c r="G45" s="109"/>
      <c r="H45" s="103"/>
      <c r="I45" s="103"/>
      <c r="J45" s="103"/>
      <c r="K45" s="103"/>
      <c r="L45" s="103"/>
    </row>
    <row r="46" spans="1:27" ht="16.5" customHeight="1" outlineLevel="1">
      <c r="A46" s="107"/>
      <c r="D46" s="108"/>
      <c r="E46" s="109"/>
      <c r="F46" s="109"/>
      <c r="G46" s="109"/>
      <c r="H46" s="103"/>
      <c r="I46" s="103"/>
      <c r="J46" s="103"/>
      <c r="K46" s="103"/>
      <c r="L46" s="103"/>
    </row>
    <row r="47" spans="1:27" ht="16.5" customHeight="1">
      <c r="A47" s="107"/>
      <c r="D47" s="108"/>
      <c r="E47" s="109"/>
      <c r="F47" s="109"/>
      <c r="G47" s="109"/>
      <c r="H47" s="103"/>
      <c r="I47" s="103"/>
      <c r="J47" s="103"/>
      <c r="K47" s="103"/>
      <c r="L47" s="103"/>
    </row>
    <row r="48" spans="1:27" ht="16.5" customHeight="1">
      <c r="A48" s="107"/>
      <c r="D48" s="108"/>
      <c r="E48" s="109"/>
      <c r="F48" s="109"/>
      <c r="G48" s="109"/>
      <c r="H48" s="103"/>
      <c r="I48" s="103"/>
      <c r="J48" s="103"/>
      <c r="K48" s="103"/>
      <c r="L48" s="103"/>
    </row>
    <row r="49" spans="1:12" ht="16.5" customHeight="1">
      <c r="A49" s="107"/>
      <c r="D49" s="108"/>
      <c r="E49" s="109"/>
      <c r="F49" s="109"/>
      <c r="G49" s="109"/>
      <c r="H49" s="103"/>
      <c r="I49" s="103"/>
      <c r="J49" s="103"/>
      <c r="K49" s="103"/>
      <c r="L49" s="103"/>
    </row>
    <row r="50" spans="1:12" ht="16.5" customHeight="1">
      <c r="A50" s="107"/>
      <c r="D50" s="108"/>
      <c r="E50" s="109"/>
      <c r="F50" s="109"/>
      <c r="G50" s="109"/>
      <c r="H50" s="103"/>
      <c r="I50" s="103"/>
      <c r="J50" s="103"/>
      <c r="K50" s="103"/>
      <c r="L50" s="103"/>
    </row>
    <row r="51" spans="1:12" ht="16.5" customHeight="1">
      <c r="A51" s="107"/>
      <c r="D51" s="108"/>
      <c r="E51" s="109"/>
      <c r="F51" s="109"/>
      <c r="G51" s="109"/>
      <c r="H51" s="103"/>
      <c r="I51" s="103"/>
      <c r="J51" s="103"/>
      <c r="K51" s="103"/>
      <c r="L51" s="103"/>
    </row>
    <row r="52" spans="1:12" ht="16.5" customHeight="1">
      <c r="A52" s="107"/>
      <c r="D52" s="108"/>
      <c r="E52" s="109"/>
      <c r="F52" s="109"/>
      <c r="G52" s="109"/>
      <c r="H52" s="103"/>
      <c r="I52" s="103"/>
      <c r="J52" s="103"/>
      <c r="K52" s="103"/>
      <c r="L52" s="103"/>
    </row>
    <row r="53" spans="1:12" ht="16.5" customHeight="1">
      <c r="A53" s="107"/>
      <c r="D53" s="108"/>
      <c r="E53" s="109"/>
      <c r="F53" s="109"/>
      <c r="G53" s="109"/>
      <c r="H53" s="103"/>
      <c r="I53" s="103"/>
      <c r="J53" s="103"/>
      <c r="K53" s="103"/>
      <c r="L53" s="103"/>
    </row>
    <row r="54" spans="1:12" ht="16.5" customHeight="1">
      <c r="A54" s="107"/>
      <c r="D54" s="108"/>
      <c r="E54" s="109"/>
      <c r="F54" s="109"/>
      <c r="G54" s="109"/>
      <c r="H54" s="103"/>
      <c r="I54" s="103"/>
      <c r="J54" s="103"/>
      <c r="K54" s="103"/>
      <c r="L54" s="103"/>
    </row>
    <row r="55" spans="1:12" ht="16.5" customHeight="1">
      <c r="A55" s="107"/>
      <c r="D55" s="108"/>
      <c r="E55" s="109"/>
      <c r="F55" s="109"/>
      <c r="G55" s="109"/>
      <c r="H55" s="103"/>
      <c r="I55" s="103"/>
      <c r="J55" s="103"/>
      <c r="K55" s="103"/>
      <c r="L55" s="103"/>
    </row>
    <row r="56" spans="1:12" ht="16.5" customHeight="1">
      <c r="A56" s="107"/>
      <c r="D56" s="108"/>
      <c r="E56" s="109"/>
      <c r="F56" s="109"/>
      <c r="G56" s="109"/>
      <c r="H56" s="103"/>
      <c r="I56" s="103"/>
      <c r="J56" s="103"/>
      <c r="K56" s="103"/>
      <c r="L56" s="103"/>
    </row>
    <row r="57" spans="1:12" ht="16.5" customHeight="1">
      <c r="A57" s="107"/>
      <c r="D57" s="108"/>
      <c r="E57" s="109"/>
      <c r="F57" s="109"/>
      <c r="G57" s="109"/>
      <c r="H57" s="103"/>
      <c r="I57" s="103"/>
      <c r="J57" s="103"/>
      <c r="K57" s="103"/>
      <c r="L57" s="103"/>
    </row>
    <row r="58" spans="1:12" ht="16.5" customHeight="1">
      <c r="A58" s="107"/>
      <c r="D58" s="108"/>
      <c r="E58" s="109"/>
      <c r="F58" s="109"/>
      <c r="G58" s="109"/>
      <c r="H58" s="103"/>
      <c r="I58" s="103"/>
      <c r="J58" s="103"/>
      <c r="K58" s="103"/>
      <c r="L58" s="103"/>
    </row>
    <row r="59" spans="1:12" ht="16.5" customHeight="1">
      <c r="A59" s="107"/>
      <c r="D59" s="108"/>
      <c r="E59" s="109"/>
      <c r="F59" s="109"/>
      <c r="G59" s="109"/>
      <c r="H59" s="103"/>
      <c r="I59" s="103"/>
      <c r="J59" s="103"/>
      <c r="K59" s="103"/>
      <c r="L59" s="103"/>
    </row>
    <row r="60" spans="1:12" ht="16.5" customHeight="1">
      <c r="A60" s="107"/>
      <c r="D60" s="108"/>
      <c r="E60" s="109"/>
      <c r="F60" s="109"/>
      <c r="G60" s="109"/>
      <c r="H60" s="103"/>
      <c r="I60" s="103"/>
      <c r="J60" s="103"/>
      <c r="K60" s="103"/>
      <c r="L60" s="103"/>
    </row>
    <row r="61" spans="1:12" ht="16.5" customHeight="1">
      <c r="A61" s="107"/>
      <c r="D61" s="108"/>
      <c r="E61" s="109"/>
      <c r="F61" s="109"/>
      <c r="G61" s="109"/>
      <c r="H61" s="103"/>
      <c r="I61" s="103"/>
      <c r="J61" s="103"/>
      <c r="K61" s="103"/>
      <c r="L61" s="103"/>
    </row>
    <row r="62" spans="1:12" ht="16.5" customHeight="1">
      <c r="A62" s="107"/>
      <c r="D62" s="108"/>
      <c r="E62" s="109"/>
      <c r="F62" s="109"/>
      <c r="G62" s="109"/>
      <c r="H62" s="103"/>
      <c r="I62" s="103"/>
      <c r="J62" s="103"/>
      <c r="K62" s="103"/>
      <c r="L62" s="103"/>
    </row>
    <row r="63" spans="1:12" ht="16.5" customHeight="1">
      <c r="A63" s="107"/>
      <c r="D63" s="108"/>
      <c r="E63" s="109"/>
      <c r="F63" s="109"/>
      <c r="G63" s="109"/>
      <c r="H63" s="103"/>
      <c r="I63" s="103"/>
      <c r="J63" s="103"/>
      <c r="K63" s="103"/>
      <c r="L63" s="103"/>
    </row>
    <row r="64" spans="1:12" ht="16.5" customHeight="1">
      <c r="A64" s="107"/>
      <c r="D64" s="108"/>
      <c r="E64" s="109"/>
      <c r="F64" s="109"/>
      <c r="G64" s="109"/>
      <c r="H64" s="103"/>
      <c r="I64" s="103"/>
      <c r="J64" s="103"/>
      <c r="K64" s="103"/>
      <c r="L64" s="103"/>
    </row>
    <row r="65" spans="1:12" ht="16.5" customHeight="1">
      <c r="A65" s="107"/>
      <c r="D65" s="108"/>
      <c r="E65" s="109"/>
      <c r="F65" s="109"/>
      <c r="G65" s="109"/>
      <c r="H65" s="103"/>
      <c r="I65" s="103"/>
      <c r="J65" s="103"/>
      <c r="K65" s="103"/>
      <c r="L65" s="103"/>
    </row>
    <row r="66" spans="1:12" ht="16.5" customHeight="1">
      <c r="A66" s="107"/>
      <c r="D66" s="108"/>
      <c r="E66" s="109"/>
      <c r="F66" s="109"/>
      <c r="G66" s="109"/>
      <c r="H66" s="103"/>
      <c r="I66" s="103"/>
      <c r="J66" s="103"/>
      <c r="K66" s="103"/>
      <c r="L66" s="103"/>
    </row>
    <row r="67" spans="1:12" ht="16.5" customHeight="1">
      <c r="A67" s="107"/>
      <c r="D67" s="108"/>
      <c r="E67" s="109"/>
      <c r="F67" s="109"/>
      <c r="G67" s="109"/>
      <c r="H67" s="103"/>
      <c r="I67" s="103"/>
      <c r="J67" s="103"/>
      <c r="K67" s="103"/>
      <c r="L67" s="103"/>
    </row>
    <row r="68" spans="1:12" ht="16.5" customHeight="1">
      <c r="A68" s="107"/>
      <c r="D68" s="108"/>
      <c r="E68" s="109"/>
      <c r="F68" s="109"/>
      <c r="G68" s="109"/>
      <c r="H68" s="103"/>
      <c r="I68" s="103"/>
      <c r="J68" s="103"/>
      <c r="K68" s="103"/>
      <c r="L68" s="103"/>
    </row>
    <row r="69" spans="1:12" ht="16.5" customHeight="1">
      <c r="A69" s="107"/>
      <c r="D69" s="108"/>
      <c r="E69" s="109"/>
      <c r="F69" s="109"/>
      <c r="G69" s="109"/>
      <c r="H69" s="103"/>
      <c r="I69" s="103"/>
      <c r="J69" s="103"/>
      <c r="K69" s="103"/>
      <c r="L69" s="103"/>
    </row>
    <row r="70" spans="1:12" ht="16.5" customHeight="1">
      <c r="A70" s="107"/>
      <c r="D70" s="108"/>
      <c r="E70" s="109"/>
      <c r="F70" s="109"/>
      <c r="G70" s="109"/>
      <c r="H70" s="103"/>
      <c r="I70" s="103"/>
      <c r="J70" s="103"/>
      <c r="K70" s="103"/>
      <c r="L70" s="103"/>
    </row>
    <row r="71" spans="1:12" ht="16.5" customHeight="1">
      <c r="A71" s="107"/>
      <c r="D71" s="108"/>
      <c r="E71" s="109"/>
      <c r="F71" s="109"/>
      <c r="G71" s="109"/>
      <c r="H71" s="103"/>
      <c r="I71" s="103"/>
      <c r="J71" s="103"/>
      <c r="K71" s="103"/>
      <c r="L71" s="103"/>
    </row>
    <row r="72" spans="1:12" ht="16.5" customHeight="1">
      <c r="A72" s="107"/>
      <c r="D72" s="108"/>
      <c r="E72" s="109"/>
      <c r="F72" s="109"/>
      <c r="G72" s="109"/>
      <c r="H72" s="103"/>
      <c r="I72" s="103"/>
      <c r="J72" s="103"/>
      <c r="K72" s="103"/>
      <c r="L72" s="103"/>
    </row>
    <row r="73" spans="1:12" ht="16.5" customHeight="1">
      <c r="A73" s="107"/>
      <c r="D73" s="108"/>
      <c r="E73" s="109"/>
      <c r="F73" s="109"/>
      <c r="G73" s="109"/>
      <c r="H73" s="103"/>
      <c r="I73" s="103"/>
      <c r="J73" s="103"/>
      <c r="K73" s="103"/>
      <c r="L73" s="103"/>
    </row>
    <row r="74" spans="1:12" ht="16.5" customHeight="1">
      <c r="A74" s="107"/>
      <c r="D74" s="108"/>
      <c r="E74" s="109"/>
      <c r="F74" s="109"/>
      <c r="G74" s="109"/>
      <c r="H74" s="103"/>
      <c r="I74" s="103"/>
      <c r="J74" s="103"/>
      <c r="K74" s="103"/>
      <c r="L74" s="103"/>
    </row>
    <row r="75" spans="1:12" ht="16.5" customHeight="1">
      <c r="A75" s="107"/>
      <c r="D75" s="108"/>
      <c r="E75" s="109"/>
      <c r="F75" s="109"/>
      <c r="G75" s="109"/>
      <c r="H75" s="103"/>
      <c r="I75" s="103"/>
      <c r="J75" s="103"/>
      <c r="K75" s="103"/>
      <c r="L75" s="103"/>
    </row>
    <row r="76" spans="1:12" ht="16.5" customHeight="1">
      <c r="A76" s="107"/>
      <c r="D76" s="108"/>
      <c r="E76" s="109"/>
      <c r="F76" s="109"/>
      <c r="G76" s="109"/>
      <c r="H76" s="103"/>
      <c r="I76" s="103"/>
      <c r="J76" s="103"/>
      <c r="K76" s="103"/>
      <c r="L76" s="103"/>
    </row>
    <row r="77" spans="1:12" ht="16.5" customHeight="1">
      <c r="A77" s="107"/>
      <c r="D77" s="108"/>
      <c r="E77" s="109"/>
      <c r="F77" s="109"/>
      <c r="G77" s="109"/>
      <c r="H77" s="103"/>
      <c r="I77" s="103"/>
      <c r="J77" s="103"/>
      <c r="K77" s="103"/>
      <c r="L77" s="103"/>
    </row>
    <row r="78" spans="1:12" ht="16.5" customHeight="1">
      <c r="A78" s="107"/>
      <c r="D78" s="108"/>
      <c r="E78" s="109"/>
      <c r="F78" s="109"/>
      <c r="G78" s="109"/>
      <c r="H78" s="103"/>
      <c r="I78" s="103"/>
      <c r="J78" s="103"/>
      <c r="K78" s="103"/>
      <c r="L78" s="103"/>
    </row>
    <row r="79" spans="1:12" ht="16.5" customHeight="1">
      <c r="A79" s="107"/>
      <c r="D79" s="108"/>
      <c r="E79" s="109"/>
      <c r="F79" s="109"/>
      <c r="G79" s="109"/>
      <c r="H79" s="103"/>
      <c r="I79" s="103"/>
      <c r="J79" s="103"/>
      <c r="K79" s="103"/>
      <c r="L79" s="103"/>
    </row>
    <row r="80" spans="1:12" ht="16.5" customHeight="1">
      <c r="A80" s="107"/>
      <c r="D80" s="108"/>
      <c r="E80" s="109"/>
      <c r="F80" s="109"/>
      <c r="G80" s="109"/>
      <c r="H80" s="103"/>
      <c r="I80" s="103"/>
      <c r="J80" s="103"/>
      <c r="K80" s="103"/>
      <c r="L80" s="103"/>
    </row>
    <row r="81" spans="1:12" ht="16.5" customHeight="1">
      <c r="A81" s="107"/>
      <c r="D81" s="108"/>
      <c r="E81" s="109"/>
      <c r="F81" s="109"/>
      <c r="G81" s="109"/>
      <c r="H81" s="103"/>
      <c r="I81" s="103"/>
      <c r="J81" s="103"/>
      <c r="K81" s="103"/>
      <c r="L81" s="103"/>
    </row>
    <row r="82" spans="1:12" ht="16.5" customHeight="1">
      <c r="A82" s="107"/>
      <c r="D82" s="108"/>
      <c r="E82" s="109"/>
      <c r="F82" s="109"/>
      <c r="G82" s="109"/>
      <c r="H82" s="103"/>
      <c r="I82" s="103"/>
      <c r="J82" s="103"/>
      <c r="K82" s="103"/>
      <c r="L82" s="103"/>
    </row>
    <row r="83" spans="1:12" ht="16.5" customHeight="1">
      <c r="A83" s="107"/>
      <c r="D83" s="108"/>
      <c r="E83" s="109"/>
      <c r="F83" s="109"/>
      <c r="G83" s="109"/>
      <c r="H83" s="103"/>
      <c r="I83" s="103"/>
      <c r="J83" s="103"/>
      <c r="K83" s="103"/>
      <c r="L83" s="103"/>
    </row>
    <row r="84" spans="1:12" ht="16.5" customHeight="1">
      <c r="A84" s="107"/>
      <c r="D84" s="108"/>
      <c r="E84" s="109"/>
      <c r="F84" s="109"/>
      <c r="G84" s="109"/>
      <c r="H84" s="103"/>
      <c r="I84" s="103"/>
      <c r="J84" s="103"/>
      <c r="K84" s="103"/>
      <c r="L84" s="103"/>
    </row>
    <row r="85" spans="1:12" ht="16.5" customHeight="1">
      <c r="A85" s="107"/>
      <c r="D85" s="108"/>
      <c r="E85" s="109"/>
      <c r="F85" s="109"/>
      <c r="G85" s="109"/>
      <c r="H85" s="103"/>
      <c r="I85" s="103"/>
      <c r="J85" s="103"/>
      <c r="K85" s="103"/>
      <c r="L85" s="103"/>
    </row>
    <row r="86" spans="1:12" ht="16.5" customHeight="1">
      <c r="A86" s="107"/>
      <c r="D86" s="108"/>
      <c r="E86" s="109"/>
      <c r="F86" s="109"/>
      <c r="G86" s="109"/>
      <c r="H86" s="103"/>
      <c r="I86" s="103"/>
      <c r="J86" s="103"/>
      <c r="K86" s="103"/>
      <c r="L86" s="103"/>
    </row>
    <row r="87" spans="1:12" ht="16.5" customHeight="1">
      <c r="A87" s="107"/>
      <c r="D87" s="108"/>
      <c r="E87" s="109"/>
      <c r="F87" s="109"/>
      <c r="G87" s="109"/>
      <c r="H87" s="103"/>
      <c r="I87" s="103"/>
      <c r="J87" s="103"/>
      <c r="K87" s="103"/>
      <c r="L87" s="103"/>
    </row>
    <row r="88" spans="1:12" ht="16.5" customHeight="1">
      <c r="A88" s="107"/>
      <c r="D88" s="108"/>
      <c r="E88" s="109"/>
      <c r="F88" s="109"/>
      <c r="G88" s="109"/>
      <c r="H88" s="103"/>
      <c r="I88" s="103"/>
      <c r="J88" s="103"/>
      <c r="K88" s="103"/>
      <c r="L88" s="103"/>
    </row>
    <row r="89" spans="1:12" ht="16.5" customHeight="1">
      <c r="A89" s="107"/>
      <c r="D89" s="108"/>
      <c r="E89" s="109"/>
      <c r="F89" s="109"/>
      <c r="G89" s="109"/>
      <c r="H89" s="103"/>
      <c r="I89" s="103"/>
      <c r="J89" s="103"/>
      <c r="K89" s="103"/>
      <c r="L89" s="103"/>
    </row>
    <row r="90" spans="1:12" ht="16.5" customHeight="1">
      <c r="A90" s="107"/>
      <c r="D90" s="108"/>
      <c r="E90" s="109"/>
      <c r="F90" s="109"/>
      <c r="G90" s="109"/>
      <c r="H90" s="103"/>
      <c r="I90" s="103"/>
      <c r="J90" s="103"/>
      <c r="K90" s="103"/>
      <c r="L90" s="103"/>
    </row>
    <row r="91" spans="1:12" ht="16.5" customHeight="1">
      <c r="A91" s="107"/>
      <c r="D91" s="108"/>
      <c r="E91" s="109"/>
      <c r="F91" s="109"/>
      <c r="G91" s="109"/>
      <c r="H91" s="103"/>
      <c r="I91" s="103"/>
      <c r="J91" s="103"/>
      <c r="K91" s="103"/>
      <c r="L91" s="103"/>
    </row>
    <row r="92" spans="1:12" ht="16.5" customHeight="1">
      <c r="A92" s="107"/>
      <c r="D92" s="108"/>
      <c r="E92" s="109"/>
      <c r="F92" s="109"/>
      <c r="G92" s="109"/>
      <c r="H92" s="103"/>
      <c r="I92" s="103"/>
      <c r="J92" s="103"/>
      <c r="K92" s="103"/>
      <c r="L92" s="103"/>
    </row>
    <row r="93" spans="1:12" ht="16.5" customHeight="1">
      <c r="A93" s="107"/>
      <c r="D93" s="108"/>
      <c r="E93" s="109"/>
      <c r="F93" s="109"/>
      <c r="G93" s="109"/>
      <c r="H93" s="103"/>
      <c r="I93" s="103"/>
      <c r="J93" s="103"/>
      <c r="K93" s="103"/>
      <c r="L93" s="103"/>
    </row>
    <row r="94" spans="1:12" ht="16.5" customHeight="1">
      <c r="A94" s="107"/>
      <c r="D94" s="108"/>
      <c r="E94" s="109"/>
      <c r="F94" s="109"/>
      <c r="G94" s="109"/>
      <c r="H94" s="103"/>
      <c r="I94" s="103"/>
      <c r="J94" s="103"/>
      <c r="K94" s="103"/>
      <c r="L94" s="103"/>
    </row>
    <row r="95" spans="1:12" ht="16.5" customHeight="1">
      <c r="A95" s="107"/>
      <c r="D95" s="108"/>
      <c r="E95" s="109"/>
      <c r="F95" s="109"/>
      <c r="G95" s="109"/>
      <c r="H95" s="103"/>
      <c r="I95" s="103"/>
      <c r="J95" s="103"/>
      <c r="K95" s="103"/>
      <c r="L95" s="103"/>
    </row>
    <row r="96" spans="1:12" ht="16.5" customHeight="1">
      <c r="A96" s="107"/>
      <c r="D96" s="108"/>
      <c r="E96" s="109"/>
      <c r="F96" s="109"/>
      <c r="G96" s="109"/>
      <c r="H96" s="103"/>
      <c r="I96" s="103"/>
      <c r="J96" s="103"/>
      <c r="K96" s="103"/>
      <c r="L96" s="103"/>
    </row>
    <row r="97" spans="1:12" ht="16.5" customHeight="1">
      <c r="A97" s="107"/>
      <c r="D97" s="108"/>
      <c r="E97" s="109"/>
      <c r="F97" s="109"/>
      <c r="G97" s="109"/>
      <c r="H97" s="103"/>
      <c r="I97" s="103"/>
      <c r="J97" s="103"/>
      <c r="K97" s="103"/>
      <c r="L97" s="103"/>
    </row>
    <row r="98" spans="1:12" ht="16.5" customHeight="1">
      <c r="A98" s="107"/>
      <c r="D98" s="108"/>
      <c r="E98" s="109"/>
      <c r="F98" s="109"/>
      <c r="G98" s="109"/>
      <c r="H98" s="103"/>
      <c r="I98" s="103"/>
      <c r="J98" s="103"/>
      <c r="K98" s="103"/>
      <c r="L98" s="103"/>
    </row>
    <row r="99" spans="1:12" ht="16.5" customHeight="1">
      <c r="A99" s="107"/>
      <c r="D99" s="108"/>
      <c r="E99" s="109"/>
      <c r="F99" s="109"/>
      <c r="G99" s="109"/>
      <c r="H99" s="103"/>
      <c r="I99" s="103"/>
      <c r="J99" s="103"/>
      <c r="K99" s="103"/>
      <c r="L99" s="103"/>
    </row>
    <row r="100" spans="1:12" ht="16.5" customHeight="1">
      <c r="A100" s="107"/>
      <c r="D100" s="108"/>
      <c r="E100" s="109"/>
      <c r="F100" s="109"/>
      <c r="G100" s="109"/>
      <c r="H100" s="103"/>
      <c r="I100" s="103"/>
      <c r="J100" s="103"/>
      <c r="K100" s="103"/>
      <c r="L100" s="103"/>
    </row>
    <row r="101" spans="1:12" ht="16.5" customHeight="1">
      <c r="A101" s="107"/>
      <c r="D101" s="108"/>
      <c r="E101" s="109"/>
      <c r="F101" s="109"/>
      <c r="G101" s="109"/>
      <c r="H101" s="103"/>
      <c r="I101" s="103"/>
      <c r="J101" s="103"/>
      <c r="K101" s="103"/>
      <c r="L101" s="103"/>
    </row>
    <row r="102" spans="1:12" ht="16.5" customHeight="1">
      <c r="A102" s="107"/>
      <c r="D102" s="108"/>
      <c r="E102" s="109"/>
      <c r="F102" s="109"/>
      <c r="G102" s="109"/>
      <c r="H102" s="103"/>
      <c r="I102" s="103"/>
      <c r="J102" s="103"/>
      <c r="K102" s="103"/>
      <c r="L102" s="103"/>
    </row>
    <row r="103" spans="1:12" ht="16.5" customHeight="1">
      <c r="A103" s="107"/>
      <c r="D103" s="108"/>
      <c r="E103" s="109"/>
      <c r="F103" s="109"/>
      <c r="G103" s="109"/>
      <c r="H103" s="103"/>
      <c r="I103" s="103"/>
      <c r="J103" s="103"/>
      <c r="K103" s="103"/>
      <c r="L103" s="103"/>
    </row>
    <row r="104" spans="1:12" ht="16.5" customHeight="1">
      <c r="A104" s="107"/>
      <c r="D104" s="108"/>
      <c r="E104" s="109"/>
      <c r="F104" s="109"/>
      <c r="G104" s="109"/>
      <c r="H104" s="103"/>
      <c r="I104" s="103"/>
      <c r="J104" s="103"/>
      <c r="K104" s="103"/>
      <c r="L104" s="103"/>
    </row>
    <row r="105" spans="1:12" ht="16.5" customHeight="1">
      <c r="A105" s="107"/>
      <c r="D105" s="108"/>
      <c r="E105" s="109"/>
      <c r="F105" s="109"/>
      <c r="G105" s="109"/>
      <c r="H105" s="103"/>
      <c r="I105" s="103"/>
      <c r="J105" s="103"/>
      <c r="K105" s="103"/>
      <c r="L105" s="103"/>
    </row>
    <row r="106" spans="1:12" ht="16.5" customHeight="1">
      <c r="A106" s="107"/>
      <c r="D106" s="108"/>
      <c r="E106" s="109"/>
      <c r="F106" s="109"/>
      <c r="G106" s="109"/>
      <c r="H106" s="103"/>
      <c r="I106" s="103"/>
      <c r="J106" s="103"/>
      <c r="K106" s="103"/>
      <c r="L106" s="103"/>
    </row>
    <row r="107" spans="1:12" ht="16.5" customHeight="1">
      <c r="A107" s="107"/>
      <c r="D107" s="108"/>
      <c r="E107" s="109"/>
      <c r="F107" s="109"/>
      <c r="G107" s="109"/>
      <c r="H107" s="103"/>
      <c r="I107" s="103"/>
      <c r="J107" s="103"/>
      <c r="K107" s="103"/>
      <c r="L107" s="103"/>
    </row>
    <row r="108" spans="1:12" ht="16.5" customHeight="1">
      <c r="A108" s="107"/>
      <c r="D108" s="108"/>
      <c r="E108" s="109"/>
      <c r="F108" s="109"/>
      <c r="G108" s="109"/>
      <c r="H108" s="103"/>
      <c r="I108" s="103"/>
      <c r="J108" s="103"/>
      <c r="K108" s="103"/>
      <c r="L108" s="103"/>
    </row>
    <row r="109" spans="1:12" ht="16.5" customHeight="1">
      <c r="A109" s="107"/>
      <c r="D109" s="108"/>
      <c r="E109" s="109"/>
      <c r="F109" s="109"/>
      <c r="G109" s="109"/>
      <c r="H109" s="103"/>
      <c r="I109" s="103"/>
      <c r="J109" s="103"/>
      <c r="K109" s="103"/>
      <c r="L109" s="103"/>
    </row>
    <row r="110" spans="1:12" ht="16.5" customHeight="1">
      <c r="A110" s="107"/>
      <c r="D110" s="108"/>
      <c r="E110" s="109"/>
      <c r="F110" s="109"/>
      <c r="G110" s="109"/>
      <c r="H110" s="103"/>
      <c r="I110" s="103"/>
      <c r="J110" s="103"/>
      <c r="K110" s="103"/>
      <c r="L110" s="103"/>
    </row>
    <row r="111" spans="1:12" ht="16.5" customHeight="1">
      <c r="A111" s="107"/>
      <c r="D111" s="108"/>
      <c r="E111" s="109"/>
      <c r="F111" s="109"/>
      <c r="G111" s="109"/>
      <c r="H111" s="103"/>
      <c r="I111" s="103"/>
      <c r="J111" s="103"/>
      <c r="K111" s="103"/>
      <c r="L111" s="103"/>
    </row>
    <row r="112" spans="1:12" ht="16.5" customHeight="1">
      <c r="A112" s="107"/>
      <c r="D112" s="108"/>
      <c r="E112" s="109"/>
      <c r="F112" s="109"/>
      <c r="G112" s="109"/>
      <c r="H112" s="103"/>
      <c r="I112" s="103"/>
      <c r="J112" s="103"/>
      <c r="K112" s="103"/>
      <c r="L112" s="103"/>
    </row>
    <row r="113" spans="1:12" ht="16.5" customHeight="1">
      <c r="A113" s="107"/>
      <c r="D113" s="108"/>
      <c r="E113" s="109"/>
      <c r="F113" s="109"/>
      <c r="G113" s="109"/>
      <c r="H113" s="103"/>
      <c r="I113" s="103"/>
      <c r="J113" s="103"/>
      <c r="K113" s="103"/>
      <c r="L113" s="103"/>
    </row>
    <row r="114" spans="1:12" ht="16.5" customHeight="1">
      <c r="A114" s="107"/>
      <c r="D114" s="108"/>
      <c r="E114" s="109"/>
      <c r="F114" s="109"/>
      <c r="G114" s="109"/>
      <c r="H114" s="103"/>
      <c r="I114" s="103"/>
      <c r="J114" s="103"/>
      <c r="K114" s="103"/>
      <c r="L114" s="103"/>
    </row>
    <row r="115" spans="1:12" ht="16.5" customHeight="1">
      <c r="A115" s="107"/>
      <c r="D115" s="108"/>
      <c r="E115" s="109"/>
      <c r="F115" s="109"/>
      <c r="G115" s="109"/>
      <c r="H115" s="103"/>
      <c r="I115" s="103"/>
      <c r="J115" s="103"/>
      <c r="K115" s="103"/>
      <c r="L115" s="103"/>
    </row>
    <row r="116" spans="1:12" ht="16.5" customHeight="1">
      <c r="A116" s="107"/>
      <c r="D116" s="108"/>
      <c r="E116" s="109"/>
      <c r="F116" s="109"/>
      <c r="G116" s="109"/>
      <c r="H116" s="103"/>
      <c r="I116" s="103"/>
      <c r="J116" s="103"/>
      <c r="K116" s="103"/>
      <c r="L116" s="103"/>
    </row>
    <row r="117" spans="1:12" ht="16.5" customHeight="1">
      <c r="A117" s="107"/>
      <c r="D117" s="108"/>
      <c r="E117" s="109"/>
      <c r="F117" s="109"/>
      <c r="G117" s="109"/>
      <c r="H117" s="103"/>
      <c r="I117" s="103"/>
      <c r="J117" s="103"/>
      <c r="K117" s="103"/>
      <c r="L117" s="103"/>
    </row>
    <row r="118" spans="1:12" ht="16.5" customHeight="1">
      <c r="A118" s="107"/>
      <c r="D118" s="108"/>
      <c r="E118" s="109"/>
      <c r="F118" s="109"/>
      <c r="G118" s="109"/>
      <c r="H118" s="103"/>
      <c r="I118" s="103"/>
      <c r="J118" s="103"/>
      <c r="K118" s="103"/>
      <c r="L118" s="103"/>
    </row>
    <row r="119" spans="1:12" ht="16.5" customHeight="1">
      <c r="A119" s="107"/>
      <c r="D119" s="108"/>
      <c r="E119" s="109"/>
      <c r="F119" s="109"/>
      <c r="G119" s="109"/>
      <c r="H119" s="103"/>
      <c r="I119" s="103"/>
      <c r="J119" s="103"/>
      <c r="K119" s="103"/>
      <c r="L119" s="103"/>
    </row>
    <row r="120" spans="1:12" ht="16.5" customHeight="1">
      <c r="A120" s="107"/>
      <c r="D120" s="108"/>
      <c r="E120" s="109"/>
      <c r="F120" s="109"/>
      <c r="G120" s="109"/>
      <c r="H120" s="103"/>
      <c r="I120" s="103"/>
      <c r="J120" s="103"/>
      <c r="K120" s="103"/>
      <c r="L120" s="103"/>
    </row>
    <row r="121" spans="1:12" ht="16.5" customHeight="1">
      <c r="A121" s="107"/>
      <c r="D121" s="108"/>
      <c r="E121" s="109"/>
      <c r="F121" s="109"/>
      <c r="G121" s="109"/>
      <c r="H121" s="103"/>
      <c r="I121" s="103"/>
      <c r="J121" s="103"/>
      <c r="K121" s="103"/>
      <c r="L121" s="103"/>
    </row>
    <row r="122" spans="1:12" ht="16.5" customHeight="1">
      <c r="A122" s="107"/>
      <c r="D122" s="108"/>
      <c r="E122" s="109"/>
      <c r="F122" s="109"/>
      <c r="G122" s="109"/>
      <c r="H122" s="103"/>
      <c r="I122" s="103"/>
      <c r="J122" s="103"/>
      <c r="K122" s="103"/>
      <c r="L122" s="103"/>
    </row>
    <row r="123" spans="1:12" ht="16.5" customHeight="1">
      <c r="A123" s="107"/>
      <c r="D123" s="108"/>
      <c r="E123" s="109"/>
      <c r="F123" s="109"/>
      <c r="G123" s="109"/>
      <c r="H123" s="103"/>
      <c r="I123" s="103"/>
      <c r="J123" s="103"/>
      <c r="K123" s="103"/>
      <c r="L123" s="103"/>
    </row>
    <row r="124" spans="1:12" ht="16.5" customHeight="1">
      <c r="A124" s="107"/>
      <c r="D124" s="108"/>
      <c r="E124" s="109"/>
      <c r="F124" s="109"/>
      <c r="G124" s="109"/>
      <c r="H124" s="103"/>
      <c r="I124" s="103"/>
      <c r="J124" s="103"/>
      <c r="K124" s="103"/>
      <c r="L124" s="103"/>
    </row>
    <row r="125" spans="1:12" ht="16.5" customHeight="1">
      <c r="A125" s="107"/>
      <c r="D125" s="108"/>
      <c r="E125" s="109"/>
      <c r="F125" s="109"/>
      <c r="G125" s="109"/>
      <c r="H125" s="103"/>
      <c r="I125" s="103"/>
      <c r="J125" s="103"/>
      <c r="K125" s="103"/>
      <c r="L125" s="103"/>
    </row>
    <row r="126" spans="1:12" ht="16.5" customHeight="1">
      <c r="A126" s="107"/>
      <c r="D126" s="108"/>
      <c r="E126" s="109"/>
      <c r="F126" s="109"/>
      <c r="G126" s="109"/>
      <c r="H126" s="103"/>
      <c r="I126" s="103"/>
      <c r="J126" s="103"/>
      <c r="K126" s="103"/>
      <c r="L126" s="103"/>
    </row>
    <row r="127" spans="1:12" ht="16.5" customHeight="1">
      <c r="A127" s="107"/>
      <c r="D127" s="108"/>
      <c r="E127" s="109"/>
      <c r="F127" s="109"/>
      <c r="G127" s="109"/>
      <c r="H127" s="103"/>
      <c r="I127" s="103"/>
      <c r="J127" s="103"/>
      <c r="K127" s="103"/>
      <c r="L127" s="103"/>
    </row>
    <row r="128" spans="1:12" ht="16.5" customHeight="1">
      <c r="A128" s="107"/>
      <c r="D128" s="108"/>
      <c r="E128" s="109"/>
      <c r="F128" s="109"/>
      <c r="G128" s="109"/>
      <c r="H128" s="103"/>
      <c r="I128" s="103"/>
      <c r="J128" s="103"/>
      <c r="K128" s="103"/>
      <c r="L128" s="103"/>
    </row>
    <row r="129" spans="1:12" ht="16.5" customHeight="1">
      <c r="A129" s="107"/>
      <c r="D129" s="108"/>
      <c r="E129" s="109"/>
      <c r="F129" s="109"/>
      <c r="G129" s="109"/>
      <c r="H129" s="103"/>
      <c r="I129" s="103"/>
      <c r="J129" s="103"/>
      <c r="K129" s="103"/>
      <c r="L129" s="103"/>
    </row>
    <row r="130" spans="1:12" ht="16.5" customHeight="1">
      <c r="A130" s="107"/>
      <c r="D130" s="108"/>
      <c r="E130" s="109"/>
      <c r="F130" s="109"/>
      <c r="G130" s="109"/>
      <c r="H130" s="103"/>
      <c r="I130" s="103"/>
      <c r="J130" s="103"/>
      <c r="K130" s="103"/>
      <c r="L130" s="103"/>
    </row>
    <row r="131" spans="1:12" ht="16.5" customHeight="1">
      <c r="A131" s="107"/>
      <c r="D131" s="108"/>
      <c r="E131" s="109"/>
      <c r="F131" s="109"/>
      <c r="G131" s="109"/>
      <c r="H131" s="103"/>
      <c r="I131" s="103"/>
      <c r="J131" s="103"/>
      <c r="K131" s="103"/>
      <c r="L131" s="103"/>
    </row>
    <row r="132" spans="1:12" ht="16.5" customHeight="1">
      <c r="A132" s="107"/>
      <c r="D132" s="108"/>
      <c r="E132" s="109"/>
      <c r="F132" s="109"/>
      <c r="G132" s="109"/>
      <c r="H132" s="103"/>
      <c r="I132" s="103"/>
      <c r="J132" s="103"/>
      <c r="K132" s="103"/>
      <c r="L132" s="103"/>
    </row>
    <row r="133" spans="1:12" ht="16.5" customHeight="1">
      <c r="A133" s="107"/>
      <c r="D133" s="108"/>
      <c r="E133" s="109"/>
      <c r="F133" s="109"/>
      <c r="G133" s="109"/>
      <c r="H133" s="103"/>
      <c r="I133" s="103"/>
      <c r="J133" s="103"/>
      <c r="K133" s="103"/>
      <c r="L133" s="103"/>
    </row>
    <row r="134" spans="1:12" ht="16.5" customHeight="1">
      <c r="A134" s="107"/>
      <c r="D134" s="108"/>
      <c r="E134" s="109"/>
      <c r="F134" s="109"/>
      <c r="G134" s="109"/>
      <c r="H134" s="103"/>
      <c r="I134" s="103"/>
      <c r="J134" s="103"/>
      <c r="K134" s="103"/>
      <c r="L134" s="103"/>
    </row>
    <row r="135" spans="1:12" ht="16.5" customHeight="1">
      <c r="A135" s="107"/>
      <c r="D135" s="108"/>
      <c r="E135" s="109"/>
      <c r="F135" s="109"/>
      <c r="G135" s="109"/>
      <c r="H135" s="103"/>
      <c r="I135" s="103"/>
      <c r="J135" s="103"/>
      <c r="K135" s="103"/>
      <c r="L135" s="103"/>
    </row>
    <row r="136" spans="1:12" ht="16.5" customHeight="1">
      <c r="A136" s="107"/>
      <c r="D136" s="108"/>
      <c r="E136" s="109"/>
      <c r="F136" s="109"/>
      <c r="G136" s="109"/>
      <c r="H136" s="103"/>
      <c r="I136" s="103"/>
      <c r="J136" s="103"/>
      <c r="K136" s="103"/>
      <c r="L136" s="103"/>
    </row>
    <row r="137" spans="1:12" ht="16.5" customHeight="1">
      <c r="A137" s="107"/>
      <c r="D137" s="108"/>
      <c r="E137" s="109"/>
      <c r="F137" s="109"/>
      <c r="G137" s="109"/>
      <c r="H137" s="103"/>
      <c r="I137" s="103"/>
      <c r="J137" s="103"/>
      <c r="K137" s="103"/>
      <c r="L137" s="103"/>
    </row>
    <row r="138" spans="1:12" ht="16.5" customHeight="1">
      <c r="A138" s="107"/>
      <c r="D138" s="108"/>
      <c r="E138" s="109"/>
      <c r="F138" s="109"/>
      <c r="G138" s="109"/>
      <c r="H138" s="103"/>
      <c r="I138" s="103"/>
      <c r="J138" s="103"/>
      <c r="K138" s="103"/>
      <c r="L138" s="103"/>
    </row>
    <row r="139" spans="1:12" ht="16.5" customHeight="1">
      <c r="A139" s="107"/>
      <c r="D139" s="108"/>
      <c r="E139" s="109"/>
      <c r="F139" s="109"/>
      <c r="G139" s="109"/>
      <c r="H139" s="103"/>
      <c r="I139" s="103"/>
      <c r="J139" s="103"/>
      <c r="K139" s="103"/>
      <c r="L139" s="103"/>
    </row>
    <row r="140" spans="1:12" ht="16.5" customHeight="1">
      <c r="A140" s="107"/>
      <c r="D140" s="108"/>
      <c r="E140" s="109"/>
      <c r="F140" s="109"/>
      <c r="G140" s="109"/>
      <c r="H140" s="103"/>
      <c r="I140" s="103"/>
      <c r="J140" s="103"/>
      <c r="K140" s="103"/>
      <c r="L140" s="103"/>
    </row>
    <row r="141" spans="1:12" ht="16.5" customHeight="1">
      <c r="A141" s="107"/>
      <c r="D141" s="108"/>
      <c r="E141" s="109"/>
      <c r="F141" s="109"/>
      <c r="G141" s="109"/>
      <c r="H141" s="103"/>
      <c r="I141" s="103"/>
      <c r="J141" s="103"/>
      <c r="K141" s="103"/>
      <c r="L141" s="103"/>
    </row>
    <row r="142" spans="1:12" ht="16.5" customHeight="1">
      <c r="A142" s="107"/>
      <c r="D142" s="108"/>
      <c r="E142" s="109"/>
      <c r="F142" s="109"/>
      <c r="G142" s="109"/>
      <c r="H142" s="103"/>
      <c r="I142" s="103"/>
      <c r="J142" s="103"/>
      <c r="K142" s="103"/>
      <c r="L142" s="103"/>
    </row>
    <row r="143" spans="1:12" ht="16.5" customHeight="1">
      <c r="A143" s="107"/>
      <c r="D143" s="108"/>
      <c r="E143" s="109"/>
      <c r="F143" s="109"/>
      <c r="G143" s="109"/>
      <c r="H143" s="103"/>
      <c r="I143" s="103"/>
      <c r="J143" s="103"/>
      <c r="K143" s="103"/>
      <c r="L143" s="103"/>
    </row>
    <row r="144" spans="1:12" ht="16.5" customHeight="1">
      <c r="A144" s="107"/>
      <c r="D144" s="108"/>
      <c r="E144" s="109"/>
      <c r="F144" s="109"/>
      <c r="G144" s="109"/>
      <c r="H144" s="103"/>
      <c r="I144" s="103"/>
      <c r="J144" s="103"/>
      <c r="K144" s="103"/>
      <c r="L144" s="103"/>
    </row>
    <row r="145" spans="1:12" ht="16.5" customHeight="1">
      <c r="A145" s="107"/>
      <c r="D145" s="108"/>
      <c r="E145" s="109"/>
      <c r="F145" s="109"/>
      <c r="G145" s="109"/>
      <c r="H145" s="103"/>
      <c r="I145" s="103"/>
      <c r="J145" s="103"/>
      <c r="K145" s="103"/>
      <c r="L145" s="103"/>
    </row>
    <row r="146" spans="1:12" ht="16.5" customHeight="1">
      <c r="A146" s="107"/>
      <c r="D146" s="108"/>
      <c r="E146" s="109"/>
      <c r="F146" s="109"/>
      <c r="G146" s="109"/>
      <c r="H146" s="103"/>
      <c r="I146" s="103"/>
      <c r="J146" s="103"/>
      <c r="K146" s="103"/>
      <c r="L146" s="103"/>
    </row>
    <row r="147" spans="1:12" ht="16.5" customHeight="1">
      <c r="A147" s="107"/>
      <c r="D147" s="108"/>
      <c r="E147" s="109"/>
      <c r="F147" s="109"/>
      <c r="G147" s="109"/>
      <c r="H147" s="103"/>
      <c r="I147" s="103"/>
      <c r="J147" s="103"/>
      <c r="K147" s="103"/>
      <c r="L147" s="103"/>
    </row>
    <row r="148" spans="1:12" ht="16.5" customHeight="1">
      <c r="A148" s="107"/>
      <c r="D148" s="108"/>
      <c r="E148" s="109"/>
      <c r="F148" s="109"/>
      <c r="G148" s="109"/>
      <c r="H148" s="103"/>
      <c r="I148" s="103"/>
      <c r="J148" s="103"/>
      <c r="K148" s="103"/>
      <c r="L148" s="103"/>
    </row>
    <row r="149" spans="1:12" ht="16.5" customHeight="1">
      <c r="A149" s="107"/>
      <c r="D149" s="108"/>
      <c r="E149" s="109"/>
      <c r="F149" s="109"/>
      <c r="G149" s="109"/>
      <c r="H149" s="103"/>
      <c r="I149" s="103"/>
      <c r="J149" s="103"/>
      <c r="K149" s="103"/>
      <c r="L149" s="103"/>
    </row>
    <row r="150" spans="1:12" ht="16.5" customHeight="1">
      <c r="A150" s="107"/>
      <c r="D150" s="108"/>
      <c r="E150" s="109"/>
      <c r="F150" s="109"/>
      <c r="G150" s="109"/>
      <c r="H150" s="103"/>
      <c r="I150" s="103"/>
      <c r="J150" s="103"/>
      <c r="K150" s="103"/>
      <c r="L150" s="103"/>
    </row>
    <row r="151" spans="1:12" ht="16.5" customHeight="1">
      <c r="A151" s="107"/>
      <c r="D151" s="108"/>
      <c r="E151" s="109"/>
      <c r="F151" s="109"/>
      <c r="G151" s="109"/>
      <c r="H151" s="103"/>
      <c r="I151" s="103"/>
      <c r="J151" s="103"/>
      <c r="K151" s="103"/>
      <c r="L151" s="103"/>
    </row>
    <row r="152" spans="1:12" ht="16.5" customHeight="1">
      <c r="A152" s="107"/>
      <c r="D152" s="108"/>
      <c r="E152" s="109"/>
      <c r="F152" s="109"/>
      <c r="G152" s="109"/>
      <c r="H152" s="103"/>
      <c r="I152" s="103"/>
      <c r="J152" s="103"/>
      <c r="K152" s="103"/>
      <c r="L152" s="103"/>
    </row>
    <row r="153" spans="1:12" ht="16.5" customHeight="1">
      <c r="A153" s="107"/>
      <c r="D153" s="108"/>
      <c r="E153" s="109"/>
      <c r="F153" s="109"/>
      <c r="G153" s="109"/>
      <c r="H153" s="103"/>
      <c r="I153" s="103"/>
      <c r="J153" s="103"/>
      <c r="K153" s="103"/>
      <c r="L153" s="103"/>
    </row>
    <row r="154" spans="1:12" ht="16.5" customHeight="1">
      <c r="A154" s="107"/>
      <c r="D154" s="108"/>
      <c r="E154" s="109"/>
      <c r="F154" s="109"/>
      <c r="G154" s="109"/>
      <c r="H154" s="103"/>
      <c r="I154" s="103"/>
      <c r="J154" s="103"/>
      <c r="K154" s="103"/>
      <c r="L154" s="103"/>
    </row>
    <row r="155" spans="1:12" ht="16.5" customHeight="1">
      <c r="A155" s="107"/>
      <c r="D155" s="108"/>
      <c r="E155" s="109"/>
      <c r="F155" s="109"/>
      <c r="G155" s="109"/>
      <c r="H155" s="103"/>
      <c r="I155" s="103"/>
      <c r="J155" s="103"/>
      <c r="K155" s="103"/>
      <c r="L155" s="103"/>
    </row>
    <row r="156" spans="1:12" ht="16.5" customHeight="1">
      <c r="A156" s="107"/>
      <c r="D156" s="108"/>
      <c r="E156" s="109"/>
      <c r="F156" s="109"/>
      <c r="G156" s="109"/>
      <c r="H156" s="103"/>
      <c r="I156" s="103"/>
      <c r="J156" s="103"/>
      <c r="K156" s="103"/>
      <c r="L156" s="103"/>
    </row>
    <row r="157" spans="1:12" ht="16.5" customHeight="1">
      <c r="A157" s="107"/>
      <c r="D157" s="108"/>
      <c r="E157" s="109"/>
      <c r="F157" s="109"/>
      <c r="G157" s="109"/>
      <c r="H157" s="103"/>
      <c r="I157" s="103"/>
      <c r="J157" s="103"/>
      <c r="K157" s="103"/>
      <c r="L157" s="103"/>
    </row>
    <row r="158" spans="1:12" ht="16.5" customHeight="1">
      <c r="A158" s="107"/>
      <c r="D158" s="108"/>
      <c r="E158" s="109"/>
      <c r="F158" s="109"/>
      <c r="G158" s="109"/>
      <c r="H158" s="103"/>
      <c r="I158" s="103"/>
      <c r="J158" s="103"/>
      <c r="K158" s="103"/>
      <c r="L158" s="103"/>
    </row>
    <row r="159" spans="1:12" ht="16.5" customHeight="1">
      <c r="A159" s="107"/>
      <c r="D159" s="108"/>
      <c r="E159" s="109"/>
      <c r="F159" s="109"/>
      <c r="G159" s="109"/>
      <c r="H159" s="103"/>
      <c r="I159" s="103"/>
      <c r="J159" s="103"/>
      <c r="K159" s="103"/>
      <c r="L159" s="103"/>
    </row>
    <row r="160" spans="1:12" ht="16.5" customHeight="1">
      <c r="A160" s="107"/>
      <c r="D160" s="108"/>
      <c r="E160" s="109"/>
      <c r="F160" s="109"/>
      <c r="G160" s="109"/>
      <c r="H160" s="103"/>
      <c r="I160" s="103"/>
      <c r="J160" s="103"/>
      <c r="K160" s="103"/>
      <c r="L160" s="103"/>
    </row>
    <row r="161" spans="1:12" ht="16.5" customHeight="1">
      <c r="A161" s="107"/>
      <c r="D161" s="108"/>
      <c r="E161" s="109"/>
      <c r="F161" s="109"/>
      <c r="G161" s="109"/>
      <c r="H161" s="103"/>
      <c r="I161" s="103"/>
      <c r="J161" s="103"/>
      <c r="K161" s="103"/>
      <c r="L161" s="103"/>
    </row>
    <row r="162" spans="1:12" ht="16.5" customHeight="1">
      <c r="A162" s="107"/>
      <c r="D162" s="108"/>
      <c r="E162" s="109"/>
      <c r="F162" s="109"/>
      <c r="G162" s="109"/>
      <c r="H162" s="103"/>
      <c r="I162" s="103"/>
      <c r="J162" s="103"/>
      <c r="K162" s="103"/>
      <c r="L162" s="103"/>
    </row>
    <row r="163" spans="1:12" ht="16.5" customHeight="1">
      <c r="A163" s="107"/>
      <c r="D163" s="108"/>
      <c r="E163" s="109"/>
      <c r="F163" s="109"/>
      <c r="G163" s="109"/>
      <c r="H163" s="103"/>
      <c r="I163" s="103"/>
      <c r="J163" s="103"/>
      <c r="K163" s="103"/>
      <c r="L163" s="103"/>
    </row>
    <row r="164" spans="1:12" ht="16.5" customHeight="1">
      <c r="A164" s="107"/>
      <c r="D164" s="108"/>
      <c r="E164" s="109"/>
      <c r="F164" s="109"/>
      <c r="G164" s="109"/>
      <c r="H164" s="103"/>
      <c r="I164" s="103"/>
      <c r="J164" s="103"/>
      <c r="K164" s="103"/>
      <c r="L164" s="103"/>
    </row>
    <row r="165" spans="1:12" ht="16.5" customHeight="1">
      <c r="A165" s="107"/>
      <c r="D165" s="108"/>
      <c r="E165" s="109"/>
      <c r="F165" s="109"/>
      <c r="G165" s="109"/>
      <c r="H165" s="103"/>
      <c r="I165" s="103"/>
      <c r="J165" s="103"/>
      <c r="K165" s="103"/>
      <c r="L165" s="103"/>
    </row>
    <row r="166" spans="1:12" ht="16.5" customHeight="1">
      <c r="A166" s="107"/>
      <c r="D166" s="108"/>
      <c r="E166" s="109"/>
      <c r="F166" s="109"/>
      <c r="G166" s="109"/>
      <c r="H166" s="103"/>
      <c r="I166" s="103"/>
      <c r="J166" s="103"/>
      <c r="K166" s="103"/>
      <c r="L166" s="103"/>
    </row>
    <row r="167" spans="1:12" ht="16.5" customHeight="1">
      <c r="A167" s="107"/>
      <c r="D167" s="108"/>
      <c r="E167" s="109"/>
      <c r="F167" s="109"/>
      <c r="G167" s="109"/>
      <c r="H167" s="103"/>
      <c r="I167" s="103"/>
      <c r="J167" s="103"/>
      <c r="K167" s="103"/>
      <c r="L167" s="103"/>
    </row>
    <row r="168" spans="1:12" ht="16.5" customHeight="1">
      <c r="A168" s="107"/>
      <c r="D168" s="108"/>
      <c r="E168" s="109"/>
      <c r="F168" s="109"/>
      <c r="G168" s="109"/>
      <c r="H168" s="103"/>
      <c r="I168" s="103"/>
      <c r="J168" s="103"/>
      <c r="K168" s="103"/>
      <c r="L168" s="103"/>
    </row>
    <row r="169" spans="1:12" ht="16.5" customHeight="1">
      <c r="A169" s="107"/>
      <c r="D169" s="108"/>
      <c r="E169" s="109"/>
      <c r="F169" s="109"/>
      <c r="G169" s="109"/>
      <c r="H169" s="103"/>
      <c r="I169" s="103"/>
      <c r="J169" s="103"/>
      <c r="K169" s="103"/>
      <c r="L169" s="103"/>
    </row>
    <row r="170" spans="1:12" ht="16.5" customHeight="1">
      <c r="A170" s="107"/>
      <c r="D170" s="108"/>
      <c r="E170" s="109"/>
      <c r="F170" s="109"/>
      <c r="G170" s="109"/>
      <c r="H170" s="103"/>
      <c r="I170" s="103"/>
      <c r="J170" s="103"/>
      <c r="K170" s="103"/>
      <c r="L170" s="103"/>
    </row>
    <row r="171" spans="1:12" ht="16.5" customHeight="1">
      <c r="A171" s="107"/>
      <c r="D171" s="108"/>
      <c r="E171" s="109"/>
      <c r="F171" s="109"/>
      <c r="G171" s="109"/>
      <c r="H171" s="103"/>
      <c r="I171" s="103"/>
      <c r="J171" s="103"/>
      <c r="K171" s="103"/>
      <c r="L171" s="103"/>
    </row>
    <row r="172" spans="1:12" ht="16.5" customHeight="1">
      <c r="A172" s="107"/>
      <c r="D172" s="108"/>
      <c r="E172" s="109"/>
      <c r="F172" s="109"/>
      <c r="G172" s="109"/>
      <c r="H172" s="103"/>
      <c r="I172" s="103"/>
      <c r="J172" s="103"/>
      <c r="K172" s="103"/>
      <c r="L172" s="103"/>
    </row>
    <row r="173" spans="1:12" ht="16.5" customHeight="1">
      <c r="A173" s="107"/>
      <c r="D173" s="108"/>
      <c r="E173" s="109"/>
      <c r="F173" s="109"/>
      <c r="G173" s="109"/>
      <c r="H173" s="103"/>
      <c r="I173" s="103"/>
      <c r="J173" s="103"/>
      <c r="K173" s="103"/>
      <c r="L173" s="103"/>
    </row>
    <row r="174" spans="1:12" ht="16.5" customHeight="1">
      <c r="A174" s="107"/>
      <c r="D174" s="108"/>
      <c r="E174" s="109"/>
      <c r="F174" s="109"/>
      <c r="G174" s="109"/>
      <c r="H174" s="103"/>
      <c r="I174" s="103"/>
      <c r="J174" s="103"/>
      <c r="K174" s="103"/>
      <c r="L174" s="103"/>
    </row>
    <row r="175" spans="1:12" ht="16.5" customHeight="1">
      <c r="A175" s="107"/>
      <c r="D175" s="108"/>
      <c r="E175" s="109"/>
      <c r="F175" s="109"/>
      <c r="G175" s="109"/>
      <c r="H175" s="103"/>
      <c r="I175" s="103"/>
      <c r="J175" s="103"/>
      <c r="K175" s="103"/>
      <c r="L175" s="103"/>
    </row>
    <row r="176" spans="1:12" ht="16.5" customHeight="1">
      <c r="A176" s="107"/>
      <c r="D176" s="108"/>
      <c r="E176" s="109"/>
      <c r="F176" s="109"/>
      <c r="G176" s="109"/>
      <c r="H176" s="103"/>
      <c r="I176" s="103"/>
      <c r="J176" s="103"/>
      <c r="K176" s="103"/>
      <c r="L176" s="103"/>
    </row>
    <row r="177" spans="1:12" ht="16.5" customHeight="1">
      <c r="A177" s="107"/>
      <c r="D177" s="108"/>
      <c r="E177" s="109"/>
      <c r="F177" s="109"/>
      <c r="G177" s="109"/>
      <c r="H177" s="103"/>
      <c r="I177" s="103"/>
      <c r="J177" s="103"/>
      <c r="K177" s="103"/>
      <c r="L177" s="103"/>
    </row>
    <row r="178" spans="1:12" ht="16.5" customHeight="1">
      <c r="A178" s="107"/>
      <c r="D178" s="108"/>
      <c r="E178" s="109"/>
      <c r="F178" s="109"/>
      <c r="G178" s="109"/>
      <c r="H178" s="103"/>
      <c r="I178" s="103"/>
      <c r="J178" s="103"/>
      <c r="K178" s="103"/>
      <c r="L178" s="103"/>
    </row>
  </sheetData>
  <autoFilter ref="A9:S31">
    <filterColumn colId="4" showButton="0"/>
    <filterColumn colId="18">
      <filters>
        <filter val="1"/>
      </filters>
    </filterColumn>
  </autoFilter>
  <mergeCells count="10">
    <mergeCell ref="I9:I10"/>
    <mergeCell ref="J9:J10"/>
    <mergeCell ref="A7:G7"/>
    <mergeCell ref="A8:G8"/>
    <mergeCell ref="A9:A10"/>
    <mergeCell ref="B9:B10"/>
    <mergeCell ref="C9:C10"/>
    <mergeCell ref="D9:D10"/>
    <mergeCell ref="E9:F9"/>
    <mergeCell ref="G9:G10"/>
  </mergeCells>
  <printOptions horizontalCentered="1"/>
  <pageMargins left="0.62" right="0.3"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M149"/>
  <sheetViews>
    <sheetView view="pageBreakPreview" topLeftCell="A58" zoomScale="80" zoomScaleNormal="90" zoomScaleSheetLayoutView="80" workbookViewId="0">
      <selection activeCell="C136" sqref="C136"/>
    </sheetView>
  </sheetViews>
  <sheetFormatPr defaultRowHeight="16.2"/>
  <cols>
    <col min="1" max="1" width="6.08984375" style="171" customWidth="1"/>
    <col min="2" max="2" width="6" style="172" customWidth="1"/>
    <col min="3" max="3" width="30.1796875" style="172" customWidth="1"/>
    <col min="4" max="4" width="7.36328125" style="172" customWidth="1"/>
    <col min="5" max="5" width="6.6328125" style="172" customWidth="1"/>
    <col min="6" max="6" width="12.6328125" style="172" customWidth="1"/>
    <col min="7" max="7" width="8.08984375" style="172" customWidth="1"/>
    <col min="8" max="8" width="8.6328125" style="172" customWidth="1"/>
    <col min="9" max="9" width="15.08984375" style="172" customWidth="1"/>
    <col min="10" max="10" width="18.36328125" style="172" customWidth="1"/>
    <col min="11" max="11" width="16.08984375" style="172" customWidth="1"/>
    <col min="12" max="257" width="8.7265625" style="172"/>
    <col min="258" max="258" width="6" style="172" customWidth="1"/>
    <col min="259" max="259" width="33.1796875" style="172" customWidth="1"/>
    <col min="260" max="260" width="9.1796875" style="172" customWidth="1"/>
    <col min="261" max="261" width="7.90625" style="172" customWidth="1"/>
    <col min="262" max="262" width="12.6328125" style="172" customWidth="1"/>
    <col min="263" max="263" width="8.08984375" style="172" customWidth="1"/>
    <col min="264" max="264" width="8.6328125" style="172" customWidth="1"/>
    <col min="265" max="266" width="15.08984375" style="172" customWidth="1"/>
    <col min="267" max="267" width="9" style="172" customWidth="1"/>
    <col min="268" max="513" width="8.7265625" style="172"/>
    <col min="514" max="514" width="6" style="172" customWidth="1"/>
    <col min="515" max="515" width="33.1796875" style="172" customWidth="1"/>
    <col min="516" max="516" width="9.1796875" style="172" customWidth="1"/>
    <col min="517" max="517" width="7.90625" style="172" customWidth="1"/>
    <col min="518" max="518" width="12.6328125" style="172" customWidth="1"/>
    <col min="519" max="519" width="8.08984375" style="172" customWidth="1"/>
    <col min="520" max="520" width="8.6328125" style="172" customWidth="1"/>
    <col min="521" max="522" width="15.08984375" style="172" customWidth="1"/>
    <col min="523" max="523" width="9" style="172" customWidth="1"/>
    <col min="524" max="769" width="8.7265625" style="172"/>
    <col min="770" max="770" width="6" style="172" customWidth="1"/>
    <col min="771" max="771" width="33.1796875" style="172" customWidth="1"/>
    <col min="772" max="772" width="9.1796875" style="172" customWidth="1"/>
    <col min="773" max="773" width="7.90625" style="172" customWidth="1"/>
    <col min="774" max="774" width="12.6328125" style="172" customWidth="1"/>
    <col min="775" max="775" width="8.08984375" style="172" customWidth="1"/>
    <col min="776" max="776" width="8.6328125" style="172" customWidth="1"/>
    <col min="777" max="778" width="15.08984375" style="172" customWidth="1"/>
    <col min="779" max="779" width="9" style="172" customWidth="1"/>
    <col min="780" max="1025" width="8.7265625" style="172"/>
    <col min="1026" max="1026" width="6" style="172" customWidth="1"/>
    <col min="1027" max="1027" width="33.1796875" style="172" customWidth="1"/>
    <col min="1028" max="1028" width="9.1796875" style="172" customWidth="1"/>
    <col min="1029" max="1029" width="7.90625" style="172" customWidth="1"/>
    <col min="1030" max="1030" width="12.6328125" style="172" customWidth="1"/>
    <col min="1031" max="1031" width="8.08984375" style="172" customWidth="1"/>
    <col min="1032" max="1032" width="8.6328125" style="172" customWidth="1"/>
    <col min="1033" max="1034" width="15.08984375" style="172" customWidth="1"/>
    <col min="1035" max="1035" width="9" style="172" customWidth="1"/>
    <col min="1036" max="1281" width="8.7265625" style="172"/>
    <col min="1282" max="1282" width="6" style="172" customWidth="1"/>
    <col min="1283" max="1283" width="33.1796875" style="172" customWidth="1"/>
    <col min="1284" max="1284" width="9.1796875" style="172" customWidth="1"/>
    <col min="1285" max="1285" width="7.90625" style="172" customWidth="1"/>
    <col min="1286" max="1286" width="12.6328125" style="172" customWidth="1"/>
    <col min="1287" max="1287" width="8.08984375" style="172" customWidth="1"/>
    <col min="1288" max="1288" width="8.6328125" style="172" customWidth="1"/>
    <col min="1289" max="1290" width="15.08984375" style="172" customWidth="1"/>
    <col min="1291" max="1291" width="9" style="172" customWidth="1"/>
    <col min="1292" max="1537" width="8.7265625" style="172"/>
    <col min="1538" max="1538" width="6" style="172" customWidth="1"/>
    <col min="1539" max="1539" width="33.1796875" style="172" customWidth="1"/>
    <col min="1540" max="1540" width="9.1796875" style="172" customWidth="1"/>
    <col min="1541" max="1541" width="7.90625" style="172" customWidth="1"/>
    <col min="1542" max="1542" width="12.6328125" style="172" customWidth="1"/>
    <col min="1543" max="1543" width="8.08984375" style="172" customWidth="1"/>
    <col min="1544" max="1544" width="8.6328125" style="172" customWidth="1"/>
    <col min="1545" max="1546" width="15.08984375" style="172" customWidth="1"/>
    <col min="1547" max="1547" width="9" style="172" customWidth="1"/>
    <col min="1548" max="1793" width="8.7265625" style="172"/>
    <col min="1794" max="1794" width="6" style="172" customWidth="1"/>
    <col min="1795" max="1795" width="33.1796875" style="172" customWidth="1"/>
    <col min="1796" max="1796" width="9.1796875" style="172" customWidth="1"/>
    <col min="1797" max="1797" width="7.90625" style="172" customWidth="1"/>
    <col min="1798" max="1798" width="12.6328125" style="172" customWidth="1"/>
    <col min="1799" max="1799" width="8.08984375" style="172" customWidth="1"/>
    <col min="1800" max="1800" width="8.6328125" style="172" customWidth="1"/>
    <col min="1801" max="1802" width="15.08984375" style="172" customWidth="1"/>
    <col min="1803" max="1803" width="9" style="172" customWidth="1"/>
    <col min="1804" max="2049" width="8.7265625" style="172"/>
    <col min="2050" max="2050" width="6" style="172" customWidth="1"/>
    <col min="2051" max="2051" width="33.1796875" style="172" customWidth="1"/>
    <col min="2052" max="2052" width="9.1796875" style="172" customWidth="1"/>
    <col min="2053" max="2053" width="7.90625" style="172" customWidth="1"/>
    <col min="2054" max="2054" width="12.6328125" style="172" customWidth="1"/>
    <col min="2055" max="2055" width="8.08984375" style="172" customWidth="1"/>
    <col min="2056" max="2056" width="8.6328125" style="172" customWidth="1"/>
    <col min="2057" max="2058" width="15.08984375" style="172" customWidth="1"/>
    <col min="2059" max="2059" width="9" style="172" customWidth="1"/>
    <col min="2060" max="2305" width="8.7265625" style="172"/>
    <col min="2306" max="2306" width="6" style="172" customWidth="1"/>
    <col min="2307" max="2307" width="33.1796875" style="172" customWidth="1"/>
    <col min="2308" max="2308" width="9.1796875" style="172" customWidth="1"/>
    <col min="2309" max="2309" width="7.90625" style="172" customWidth="1"/>
    <col min="2310" max="2310" width="12.6328125" style="172" customWidth="1"/>
    <col min="2311" max="2311" width="8.08984375" style="172" customWidth="1"/>
    <col min="2312" max="2312" width="8.6328125" style="172" customWidth="1"/>
    <col min="2313" max="2314" width="15.08984375" style="172" customWidth="1"/>
    <col min="2315" max="2315" width="9" style="172" customWidth="1"/>
    <col min="2316" max="2561" width="8.7265625" style="172"/>
    <col min="2562" max="2562" width="6" style="172" customWidth="1"/>
    <col min="2563" max="2563" width="33.1796875" style="172" customWidth="1"/>
    <col min="2564" max="2564" width="9.1796875" style="172" customWidth="1"/>
    <col min="2565" max="2565" width="7.90625" style="172" customWidth="1"/>
    <col min="2566" max="2566" width="12.6328125" style="172" customWidth="1"/>
    <col min="2567" max="2567" width="8.08984375" style="172" customWidth="1"/>
    <col min="2568" max="2568" width="8.6328125" style="172" customWidth="1"/>
    <col min="2569" max="2570" width="15.08984375" style="172" customWidth="1"/>
    <col min="2571" max="2571" width="9" style="172" customWidth="1"/>
    <col min="2572" max="2817" width="8.7265625" style="172"/>
    <col min="2818" max="2818" width="6" style="172" customWidth="1"/>
    <col min="2819" max="2819" width="33.1796875" style="172" customWidth="1"/>
    <col min="2820" max="2820" width="9.1796875" style="172" customWidth="1"/>
    <col min="2821" max="2821" width="7.90625" style="172" customWidth="1"/>
    <col min="2822" max="2822" width="12.6328125" style="172" customWidth="1"/>
    <col min="2823" max="2823" width="8.08984375" style="172" customWidth="1"/>
    <col min="2824" max="2824" width="8.6328125" style="172" customWidth="1"/>
    <col min="2825" max="2826" width="15.08984375" style="172" customWidth="1"/>
    <col min="2827" max="2827" width="9" style="172" customWidth="1"/>
    <col min="2828" max="3073" width="8.7265625" style="172"/>
    <col min="3074" max="3074" width="6" style="172" customWidth="1"/>
    <col min="3075" max="3075" width="33.1796875" style="172" customWidth="1"/>
    <col min="3076" max="3076" width="9.1796875" style="172" customWidth="1"/>
    <col min="3077" max="3077" width="7.90625" style="172" customWidth="1"/>
    <col min="3078" max="3078" width="12.6328125" style="172" customWidth="1"/>
    <col min="3079" max="3079" width="8.08984375" style="172" customWidth="1"/>
    <col min="3080" max="3080" width="8.6328125" style="172" customWidth="1"/>
    <col min="3081" max="3082" width="15.08984375" style="172" customWidth="1"/>
    <col min="3083" max="3083" width="9" style="172" customWidth="1"/>
    <col min="3084" max="3329" width="8.7265625" style="172"/>
    <col min="3330" max="3330" width="6" style="172" customWidth="1"/>
    <col min="3331" max="3331" width="33.1796875" style="172" customWidth="1"/>
    <col min="3332" max="3332" width="9.1796875" style="172" customWidth="1"/>
    <col min="3333" max="3333" width="7.90625" style="172" customWidth="1"/>
    <col min="3334" max="3334" width="12.6328125" style="172" customWidth="1"/>
    <col min="3335" max="3335" width="8.08984375" style="172" customWidth="1"/>
    <col min="3336" max="3336" width="8.6328125" style="172" customWidth="1"/>
    <col min="3337" max="3338" width="15.08984375" style="172" customWidth="1"/>
    <col min="3339" max="3339" width="9" style="172" customWidth="1"/>
    <col min="3340" max="3585" width="8.7265625" style="172"/>
    <col min="3586" max="3586" width="6" style="172" customWidth="1"/>
    <col min="3587" max="3587" width="33.1796875" style="172" customWidth="1"/>
    <col min="3588" max="3588" width="9.1796875" style="172" customWidth="1"/>
    <col min="3589" max="3589" width="7.90625" style="172" customWidth="1"/>
    <col min="3590" max="3590" width="12.6328125" style="172" customWidth="1"/>
    <col min="3591" max="3591" width="8.08984375" style="172" customWidth="1"/>
    <col min="3592" max="3592" width="8.6328125" style="172" customWidth="1"/>
    <col min="3593" max="3594" width="15.08984375" style="172" customWidth="1"/>
    <col min="3595" max="3595" width="9" style="172" customWidth="1"/>
    <col min="3596" max="3841" width="8.7265625" style="172"/>
    <col min="3842" max="3842" width="6" style="172" customWidth="1"/>
    <col min="3843" max="3843" width="33.1796875" style="172" customWidth="1"/>
    <col min="3844" max="3844" width="9.1796875" style="172" customWidth="1"/>
    <col min="3845" max="3845" width="7.90625" style="172" customWidth="1"/>
    <col min="3846" max="3846" width="12.6328125" style="172" customWidth="1"/>
    <col min="3847" max="3847" width="8.08984375" style="172" customWidth="1"/>
    <col min="3848" max="3848" width="8.6328125" style="172" customWidth="1"/>
    <col min="3849" max="3850" width="15.08984375" style="172" customWidth="1"/>
    <col min="3851" max="3851" width="9" style="172" customWidth="1"/>
    <col min="3852" max="4097" width="8.7265625" style="172"/>
    <col min="4098" max="4098" width="6" style="172" customWidth="1"/>
    <col min="4099" max="4099" width="33.1796875" style="172" customWidth="1"/>
    <col min="4100" max="4100" width="9.1796875" style="172" customWidth="1"/>
    <col min="4101" max="4101" width="7.90625" style="172" customWidth="1"/>
    <col min="4102" max="4102" width="12.6328125" style="172" customWidth="1"/>
    <col min="4103" max="4103" width="8.08984375" style="172" customWidth="1"/>
    <col min="4104" max="4104" width="8.6328125" style="172" customWidth="1"/>
    <col min="4105" max="4106" width="15.08984375" style="172" customWidth="1"/>
    <col min="4107" max="4107" width="9" style="172" customWidth="1"/>
    <col min="4108" max="4353" width="8.7265625" style="172"/>
    <col min="4354" max="4354" width="6" style="172" customWidth="1"/>
    <col min="4355" max="4355" width="33.1796875" style="172" customWidth="1"/>
    <col min="4356" max="4356" width="9.1796875" style="172" customWidth="1"/>
    <col min="4357" max="4357" width="7.90625" style="172" customWidth="1"/>
    <col min="4358" max="4358" width="12.6328125" style="172" customWidth="1"/>
    <col min="4359" max="4359" width="8.08984375" style="172" customWidth="1"/>
    <col min="4360" max="4360" width="8.6328125" style="172" customWidth="1"/>
    <col min="4361" max="4362" width="15.08984375" style="172" customWidth="1"/>
    <col min="4363" max="4363" width="9" style="172" customWidth="1"/>
    <col min="4364" max="4609" width="8.7265625" style="172"/>
    <col min="4610" max="4610" width="6" style="172" customWidth="1"/>
    <col min="4611" max="4611" width="33.1796875" style="172" customWidth="1"/>
    <col min="4612" max="4612" width="9.1796875" style="172" customWidth="1"/>
    <col min="4613" max="4613" width="7.90625" style="172" customWidth="1"/>
    <col min="4614" max="4614" width="12.6328125" style="172" customWidth="1"/>
    <col min="4615" max="4615" width="8.08984375" style="172" customWidth="1"/>
    <col min="4616" max="4616" width="8.6328125" style="172" customWidth="1"/>
    <col min="4617" max="4618" width="15.08984375" style="172" customWidth="1"/>
    <col min="4619" max="4619" width="9" style="172" customWidth="1"/>
    <col min="4620" max="4865" width="8.7265625" style="172"/>
    <col min="4866" max="4866" width="6" style="172" customWidth="1"/>
    <col min="4867" max="4867" width="33.1796875" style="172" customWidth="1"/>
    <col min="4868" max="4868" width="9.1796875" style="172" customWidth="1"/>
    <col min="4869" max="4869" width="7.90625" style="172" customWidth="1"/>
    <col min="4870" max="4870" width="12.6328125" style="172" customWidth="1"/>
    <col min="4871" max="4871" width="8.08984375" style="172" customWidth="1"/>
    <col min="4872" max="4872" width="8.6328125" style="172" customWidth="1"/>
    <col min="4873" max="4874" width="15.08984375" style="172" customWidth="1"/>
    <col min="4875" max="4875" width="9" style="172" customWidth="1"/>
    <col min="4876" max="5121" width="8.7265625" style="172"/>
    <col min="5122" max="5122" width="6" style="172" customWidth="1"/>
    <col min="5123" max="5123" width="33.1796875" style="172" customWidth="1"/>
    <col min="5124" max="5124" width="9.1796875" style="172" customWidth="1"/>
    <col min="5125" max="5125" width="7.90625" style="172" customWidth="1"/>
    <col min="5126" max="5126" width="12.6328125" style="172" customWidth="1"/>
    <col min="5127" max="5127" width="8.08984375" style="172" customWidth="1"/>
    <col min="5128" max="5128" width="8.6328125" style="172" customWidth="1"/>
    <col min="5129" max="5130" width="15.08984375" style="172" customWidth="1"/>
    <col min="5131" max="5131" width="9" style="172" customWidth="1"/>
    <col min="5132" max="5377" width="8.7265625" style="172"/>
    <col min="5378" max="5378" width="6" style="172" customWidth="1"/>
    <col min="5379" max="5379" width="33.1796875" style="172" customWidth="1"/>
    <col min="5380" max="5380" width="9.1796875" style="172" customWidth="1"/>
    <col min="5381" max="5381" width="7.90625" style="172" customWidth="1"/>
    <col min="5382" max="5382" width="12.6328125" style="172" customWidth="1"/>
    <col min="5383" max="5383" width="8.08984375" style="172" customWidth="1"/>
    <col min="5384" max="5384" width="8.6328125" style="172" customWidth="1"/>
    <col min="5385" max="5386" width="15.08984375" style="172" customWidth="1"/>
    <col min="5387" max="5387" width="9" style="172" customWidth="1"/>
    <col min="5388" max="5633" width="8.7265625" style="172"/>
    <col min="5634" max="5634" width="6" style="172" customWidth="1"/>
    <col min="5635" max="5635" width="33.1796875" style="172" customWidth="1"/>
    <col min="5636" max="5636" width="9.1796875" style="172" customWidth="1"/>
    <col min="5637" max="5637" width="7.90625" style="172" customWidth="1"/>
    <col min="5638" max="5638" width="12.6328125" style="172" customWidth="1"/>
    <col min="5639" max="5639" width="8.08984375" style="172" customWidth="1"/>
    <col min="5640" max="5640" width="8.6328125" style="172" customWidth="1"/>
    <col min="5641" max="5642" width="15.08984375" style="172" customWidth="1"/>
    <col min="5643" max="5643" width="9" style="172" customWidth="1"/>
    <col min="5644" max="5889" width="8.7265625" style="172"/>
    <col min="5890" max="5890" width="6" style="172" customWidth="1"/>
    <col min="5891" max="5891" width="33.1796875" style="172" customWidth="1"/>
    <col min="5892" max="5892" width="9.1796875" style="172" customWidth="1"/>
    <col min="5893" max="5893" width="7.90625" style="172" customWidth="1"/>
    <col min="5894" max="5894" width="12.6328125" style="172" customWidth="1"/>
    <col min="5895" max="5895" width="8.08984375" style="172" customWidth="1"/>
    <col min="5896" max="5896" width="8.6328125" style="172" customWidth="1"/>
    <col min="5897" max="5898" width="15.08984375" style="172" customWidth="1"/>
    <col min="5899" max="5899" width="9" style="172" customWidth="1"/>
    <col min="5900" max="6145" width="8.7265625" style="172"/>
    <col min="6146" max="6146" width="6" style="172" customWidth="1"/>
    <col min="6147" max="6147" width="33.1796875" style="172" customWidth="1"/>
    <col min="6148" max="6148" width="9.1796875" style="172" customWidth="1"/>
    <col min="6149" max="6149" width="7.90625" style="172" customWidth="1"/>
    <col min="6150" max="6150" width="12.6328125" style="172" customWidth="1"/>
    <col min="6151" max="6151" width="8.08984375" style="172" customWidth="1"/>
    <col min="6152" max="6152" width="8.6328125" style="172" customWidth="1"/>
    <col min="6153" max="6154" width="15.08984375" style="172" customWidth="1"/>
    <col min="6155" max="6155" width="9" style="172" customWidth="1"/>
    <col min="6156" max="6401" width="8.7265625" style="172"/>
    <col min="6402" max="6402" width="6" style="172" customWidth="1"/>
    <col min="6403" max="6403" width="33.1796875" style="172" customWidth="1"/>
    <col min="6404" max="6404" width="9.1796875" style="172" customWidth="1"/>
    <col min="6405" max="6405" width="7.90625" style="172" customWidth="1"/>
    <col min="6406" max="6406" width="12.6328125" style="172" customWidth="1"/>
    <col min="6407" max="6407" width="8.08984375" style="172" customWidth="1"/>
    <col min="6408" max="6408" width="8.6328125" style="172" customWidth="1"/>
    <col min="6409" max="6410" width="15.08984375" style="172" customWidth="1"/>
    <col min="6411" max="6411" width="9" style="172" customWidth="1"/>
    <col min="6412" max="6657" width="8.7265625" style="172"/>
    <col min="6658" max="6658" width="6" style="172" customWidth="1"/>
    <col min="6659" max="6659" width="33.1796875" style="172" customWidth="1"/>
    <col min="6660" max="6660" width="9.1796875" style="172" customWidth="1"/>
    <col min="6661" max="6661" width="7.90625" style="172" customWidth="1"/>
    <col min="6662" max="6662" width="12.6328125" style="172" customWidth="1"/>
    <col min="6663" max="6663" width="8.08984375" style="172" customWidth="1"/>
    <col min="6664" max="6664" width="8.6328125" style="172" customWidth="1"/>
    <col min="6665" max="6666" width="15.08984375" style="172" customWidth="1"/>
    <col min="6667" max="6667" width="9" style="172" customWidth="1"/>
    <col min="6668" max="6913" width="8.7265625" style="172"/>
    <col min="6914" max="6914" width="6" style="172" customWidth="1"/>
    <col min="6915" max="6915" width="33.1796875" style="172" customWidth="1"/>
    <col min="6916" max="6916" width="9.1796875" style="172" customWidth="1"/>
    <col min="6917" max="6917" width="7.90625" style="172" customWidth="1"/>
    <col min="6918" max="6918" width="12.6328125" style="172" customWidth="1"/>
    <col min="6919" max="6919" width="8.08984375" style="172" customWidth="1"/>
    <col min="6920" max="6920" width="8.6328125" style="172" customWidth="1"/>
    <col min="6921" max="6922" width="15.08984375" style="172" customWidth="1"/>
    <col min="6923" max="6923" width="9" style="172" customWidth="1"/>
    <col min="6924" max="7169" width="8.7265625" style="172"/>
    <col min="7170" max="7170" width="6" style="172" customWidth="1"/>
    <col min="7171" max="7171" width="33.1796875" style="172" customWidth="1"/>
    <col min="7172" max="7172" width="9.1796875" style="172" customWidth="1"/>
    <col min="7173" max="7173" width="7.90625" style="172" customWidth="1"/>
    <col min="7174" max="7174" width="12.6328125" style="172" customWidth="1"/>
    <col min="7175" max="7175" width="8.08984375" style="172" customWidth="1"/>
    <col min="7176" max="7176" width="8.6328125" style="172" customWidth="1"/>
    <col min="7177" max="7178" width="15.08984375" style="172" customWidth="1"/>
    <col min="7179" max="7179" width="9" style="172" customWidth="1"/>
    <col min="7180" max="7425" width="8.7265625" style="172"/>
    <col min="7426" max="7426" width="6" style="172" customWidth="1"/>
    <col min="7427" max="7427" width="33.1796875" style="172" customWidth="1"/>
    <col min="7428" max="7428" width="9.1796875" style="172" customWidth="1"/>
    <col min="7429" max="7429" width="7.90625" style="172" customWidth="1"/>
    <col min="7430" max="7430" width="12.6328125" style="172" customWidth="1"/>
    <col min="7431" max="7431" width="8.08984375" style="172" customWidth="1"/>
    <col min="7432" max="7432" width="8.6328125" style="172" customWidth="1"/>
    <col min="7433" max="7434" width="15.08984375" style="172" customWidth="1"/>
    <col min="7435" max="7435" width="9" style="172" customWidth="1"/>
    <col min="7436" max="7681" width="8.7265625" style="172"/>
    <col min="7682" max="7682" width="6" style="172" customWidth="1"/>
    <col min="7683" max="7683" width="33.1796875" style="172" customWidth="1"/>
    <col min="7684" max="7684" width="9.1796875" style="172" customWidth="1"/>
    <col min="7685" max="7685" width="7.90625" style="172" customWidth="1"/>
    <col min="7686" max="7686" width="12.6328125" style="172" customWidth="1"/>
    <col min="7687" max="7687" width="8.08984375" style="172" customWidth="1"/>
    <col min="7688" max="7688" width="8.6328125" style="172" customWidth="1"/>
    <col min="7689" max="7690" width="15.08984375" style="172" customWidth="1"/>
    <col min="7691" max="7691" width="9" style="172" customWidth="1"/>
    <col min="7692" max="7937" width="8.7265625" style="172"/>
    <col min="7938" max="7938" width="6" style="172" customWidth="1"/>
    <col min="7939" max="7939" width="33.1796875" style="172" customWidth="1"/>
    <col min="7940" max="7940" width="9.1796875" style="172" customWidth="1"/>
    <col min="7941" max="7941" width="7.90625" style="172" customWidth="1"/>
    <col min="7942" max="7942" width="12.6328125" style="172" customWidth="1"/>
    <col min="7943" max="7943" width="8.08984375" style="172" customWidth="1"/>
    <col min="7944" max="7944" width="8.6328125" style="172" customWidth="1"/>
    <col min="7945" max="7946" width="15.08984375" style="172" customWidth="1"/>
    <col min="7947" max="7947" width="9" style="172" customWidth="1"/>
    <col min="7948" max="8193" width="8.7265625" style="172"/>
    <col min="8194" max="8194" width="6" style="172" customWidth="1"/>
    <col min="8195" max="8195" width="33.1796875" style="172" customWidth="1"/>
    <col min="8196" max="8196" width="9.1796875" style="172" customWidth="1"/>
    <col min="8197" max="8197" width="7.90625" style="172" customWidth="1"/>
    <col min="8198" max="8198" width="12.6328125" style="172" customWidth="1"/>
    <col min="8199" max="8199" width="8.08984375" style="172" customWidth="1"/>
    <col min="8200" max="8200" width="8.6328125" style="172" customWidth="1"/>
    <col min="8201" max="8202" width="15.08984375" style="172" customWidth="1"/>
    <col min="8203" max="8203" width="9" style="172" customWidth="1"/>
    <col min="8204" max="8449" width="8.7265625" style="172"/>
    <col min="8450" max="8450" width="6" style="172" customWidth="1"/>
    <col min="8451" max="8451" width="33.1796875" style="172" customWidth="1"/>
    <col min="8452" max="8452" width="9.1796875" style="172" customWidth="1"/>
    <col min="8453" max="8453" width="7.90625" style="172" customWidth="1"/>
    <col min="8454" max="8454" width="12.6328125" style="172" customWidth="1"/>
    <col min="8455" max="8455" width="8.08984375" style="172" customWidth="1"/>
    <col min="8456" max="8456" width="8.6328125" style="172" customWidth="1"/>
    <col min="8457" max="8458" width="15.08984375" style="172" customWidth="1"/>
    <col min="8459" max="8459" width="9" style="172" customWidth="1"/>
    <col min="8460" max="8705" width="8.7265625" style="172"/>
    <col min="8706" max="8706" width="6" style="172" customWidth="1"/>
    <col min="8707" max="8707" width="33.1796875" style="172" customWidth="1"/>
    <col min="8708" max="8708" width="9.1796875" style="172" customWidth="1"/>
    <col min="8709" max="8709" width="7.90625" style="172" customWidth="1"/>
    <col min="8710" max="8710" width="12.6328125" style="172" customWidth="1"/>
    <col min="8711" max="8711" width="8.08984375" style="172" customWidth="1"/>
    <col min="8712" max="8712" width="8.6328125" style="172" customWidth="1"/>
    <col min="8713" max="8714" width="15.08984375" style="172" customWidth="1"/>
    <col min="8715" max="8715" width="9" style="172" customWidth="1"/>
    <col min="8716" max="8961" width="8.7265625" style="172"/>
    <col min="8962" max="8962" width="6" style="172" customWidth="1"/>
    <col min="8963" max="8963" width="33.1796875" style="172" customWidth="1"/>
    <col min="8964" max="8964" width="9.1796875" style="172" customWidth="1"/>
    <col min="8965" max="8965" width="7.90625" style="172" customWidth="1"/>
    <col min="8966" max="8966" width="12.6328125" style="172" customWidth="1"/>
    <col min="8967" max="8967" width="8.08984375" style="172" customWidth="1"/>
    <col min="8968" max="8968" width="8.6328125" style="172" customWidth="1"/>
    <col min="8969" max="8970" width="15.08984375" style="172" customWidth="1"/>
    <col min="8971" max="8971" width="9" style="172" customWidth="1"/>
    <col min="8972" max="9217" width="8.7265625" style="172"/>
    <col min="9218" max="9218" width="6" style="172" customWidth="1"/>
    <col min="9219" max="9219" width="33.1796875" style="172" customWidth="1"/>
    <col min="9220" max="9220" width="9.1796875" style="172" customWidth="1"/>
    <col min="9221" max="9221" width="7.90625" style="172" customWidth="1"/>
    <col min="9222" max="9222" width="12.6328125" style="172" customWidth="1"/>
    <col min="9223" max="9223" width="8.08984375" style="172" customWidth="1"/>
    <col min="9224" max="9224" width="8.6328125" style="172" customWidth="1"/>
    <col min="9225" max="9226" width="15.08984375" style="172" customWidth="1"/>
    <col min="9227" max="9227" width="9" style="172" customWidth="1"/>
    <col min="9228" max="9473" width="8.7265625" style="172"/>
    <col min="9474" max="9474" width="6" style="172" customWidth="1"/>
    <col min="9475" max="9475" width="33.1796875" style="172" customWidth="1"/>
    <col min="9476" max="9476" width="9.1796875" style="172" customWidth="1"/>
    <col min="9477" max="9477" width="7.90625" style="172" customWidth="1"/>
    <col min="9478" max="9478" width="12.6328125" style="172" customWidth="1"/>
    <col min="9479" max="9479" width="8.08984375" style="172" customWidth="1"/>
    <col min="9480" max="9480" width="8.6328125" style="172" customWidth="1"/>
    <col min="9481" max="9482" width="15.08984375" style="172" customWidth="1"/>
    <col min="9483" max="9483" width="9" style="172" customWidth="1"/>
    <col min="9484" max="9729" width="8.7265625" style="172"/>
    <col min="9730" max="9730" width="6" style="172" customWidth="1"/>
    <col min="9731" max="9731" width="33.1796875" style="172" customWidth="1"/>
    <col min="9732" max="9732" width="9.1796875" style="172" customWidth="1"/>
    <col min="9733" max="9733" width="7.90625" style="172" customWidth="1"/>
    <col min="9734" max="9734" width="12.6328125" style="172" customWidth="1"/>
    <col min="9735" max="9735" width="8.08984375" style="172" customWidth="1"/>
    <col min="9736" max="9736" width="8.6328125" style="172" customWidth="1"/>
    <col min="9737" max="9738" width="15.08984375" style="172" customWidth="1"/>
    <col min="9739" max="9739" width="9" style="172" customWidth="1"/>
    <col min="9740" max="9985" width="8.7265625" style="172"/>
    <col min="9986" max="9986" width="6" style="172" customWidth="1"/>
    <col min="9987" max="9987" width="33.1796875" style="172" customWidth="1"/>
    <col min="9988" max="9988" width="9.1796875" style="172" customWidth="1"/>
    <col min="9989" max="9989" width="7.90625" style="172" customWidth="1"/>
    <col min="9990" max="9990" width="12.6328125" style="172" customWidth="1"/>
    <col min="9991" max="9991" width="8.08984375" style="172" customWidth="1"/>
    <col min="9992" max="9992" width="8.6328125" style="172" customWidth="1"/>
    <col min="9993" max="9994" width="15.08984375" style="172" customWidth="1"/>
    <col min="9995" max="9995" width="9" style="172" customWidth="1"/>
    <col min="9996" max="10241" width="8.7265625" style="172"/>
    <col min="10242" max="10242" width="6" style="172" customWidth="1"/>
    <col min="10243" max="10243" width="33.1796875" style="172" customWidth="1"/>
    <col min="10244" max="10244" width="9.1796875" style="172" customWidth="1"/>
    <col min="10245" max="10245" width="7.90625" style="172" customWidth="1"/>
    <col min="10246" max="10246" width="12.6328125" style="172" customWidth="1"/>
    <col min="10247" max="10247" width="8.08984375" style="172" customWidth="1"/>
    <col min="10248" max="10248" width="8.6328125" style="172" customWidth="1"/>
    <col min="10249" max="10250" width="15.08984375" style="172" customWidth="1"/>
    <col min="10251" max="10251" width="9" style="172" customWidth="1"/>
    <col min="10252" max="10497" width="8.7265625" style="172"/>
    <col min="10498" max="10498" width="6" style="172" customWidth="1"/>
    <col min="10499" max="10499" width="33.1796875" style="172" customWidth="1"/>
    <col min="10500" max="10500" width="9.1796875" style="172" customWidth="1"/>
    <col min="10501" max="10501" width="7.90625" style="172" customWidth="1"/>
    <col min="10502" max="10502" width="12.6328125" style="172" customWidth="1"/>
    <col min="10503" max="10503" width="8.08984375" style="172" customWidth="1"/>
    <col min="10504" max="10504" width="8.6328125" style="172" customWidth="1"/>
    <col min="10505" max="10506" width="15.08984375" style="172" customWidth="1"/>
    <col min="10507" max="10507" width="9" style="172" customWidth="1"/>
    <col min="10508" max="10753" width="8.7265625" style="172"/>
    <col min="10754" max="10754" width="6" style="172" customWidth="1"/>
    <col min="10755" max="10755" width="33.1796875" style="172" customWidth="1"/>
    <col min="10756" max="10756" width="9.1796875" style="172" customWidth="1"/>
    <col min="10757" max="10757" width="7.90625" style="172" customWidth="1"/>
    <col min="10758" max="10758" width="12.6328125" style="172" customWidth="1"/>
    <col min="10759" max="10759" width="8.08984375" style="172" customWidth="1"/>
    <col min="10760" max="10760" width="8.6328125" style="172" customWidth="1"/>
    <col min="10761" max="10762" width="15.08984375" style="172" customWidth="1"/>
    <col min="10763" max="10763" width="9" style="172" customWidth="1"/>
    <col min="10764" max="11009" width="8.7265625" style="172"/>
    <col min="11010" max="11010" width="6" style="172" customWidth="1"/>
    <col min="11011" max="11011" width="33.1796875" style="172" customWidth="1"/>
    <col min="11012" max="11012" width="9.1796875" style="172" customWidth="1"/>
    <col min="11013" max="11013" width="7.90625" style="172" customWidth="1"/>
    <col min="11014" max="11014" width="12.6328125" style="172" customWidth="1"/>
    <col min="11015" max="11015" width="8.08984375" style="172" customWidth="1"/>
    <col min="11016" max="11016" width="8.6328125" style="172" customWidth="1"/>
    <col min="11017" max="11018" width="15.08984375" style="172" customWidth="1"/>
    <col min="11019" max="11019" width="9" style="172" customWidth="1"/>
    <col min="11020" max="11265" width="8.7265625" style="172"/>
    <col min="11266" max="11266" width="6" style="172" customWidth="1"/>
    <col min="11267" max="11267" width="33.1796875" style="172" customWidth="1"/>
    <col min="11268" max="11268" width="9.1796875" style="172" customWidth="1"/>
    <col min="11269" max="11269" width="7.90625" style="172" customWidth="1"/>
    <col min="11270" max="11270" width="12.6328125" style="172" customWidth="1"/>
    <col min="11271" max="11271" width="8.08984375" style="172" customWidth="1"/>
    <col min="11272" max="11272" width="8.6328125" style="172" customWidth="1"/>
    <col min="11273" max="11274" width="15.08984375" style="172" customWidth="1"/>
    <col min="11275" max="11275" width="9" style="172" customWidth="1"/>
    <col min="11276" max="11521" width="8.7265625" style="172"/>
    <col min="11522" max="11522" width="6" style="172" customWidth="1"/>
    <col min="11523" max="11523" width="33.1796875" style="172" customWidth="1"/>
    <col min="11524" max="11524" width="9.1796875" style="172" customWidth="1"/>
    <col min="11525" max="11525" width="7.90625" style="172" customWidth="1"/>
    <col min="11526" max="11526" width="12.6328125" style="172" customWidth="1"/>
    <col min="11527" max="11527" width="8.08984375" style="172" customWidth="1"/>
    <col min="11528" max="11528" width="8.6328125" style="172" customWidth="1"/>
    <col min="11529" max="11530" width="15.08984375" style="172" customWidth="1"/>
    <col min="11531" max="11531" width="9" style="172" customWidth="1"/>
    <col min="11532" max="11777" width="8.7265625" style="172"/>
    <col min="11778" max="11778" width="6" style="172" customWidth="1"/>
    <col min="11779" max="11779" width="33.1796875" style="172" customWidth="1"/>
    <col min="11780" max="11780" width="9.1796875" style="172" customWidth="1"/>
    <col min="11781" max="11781" width="7.90625" style="172" customWidth="1"/>
    <col min="11782" max="11782" width="12.6328125" style="172" customWidth="1"/>
    <col min="11783" max="11783" width="8.08984375" style="172" customWidth="1"/>
    <col min="11784" max="11784" width="8.6328125" style="172" customWidth="1"/>
    <col min="11785" max="11786" width="15.08984375" style="172" customWidth="1"/>
    <col min="11787" max="11787" width="9" style="172" customWidth="1"/>
    <col min="11788" max="12033" width="8.7265625" style="172"/>
    <col min="12034" max="12034" width="6" style="172" customWidth="1"/>
    <col min="12035" max="12035" width="33.1796875" style="172" customWidth="1"/>
    <col min="12036" max="12036" width="9.1796875" style="172" customWidth="1"/>
    <col min="12037" max="12037" width="7.90625" style="172" customWidth="1"/>
    <col min="12038" max="12038" width="12.6328125" style="172" customWidth="1"/>
    <col min="12039" max="12039" width="8.08984375" style="172" customWidth="1"/>
    <col min="12040" max="12040" width="8.6328125" style="172" customWidth="1"/>
    <col min="12041" max="12042" width="15.08984375" style="172" customWidth="1"/>
    <col min="12043" max="12043" width="9" style="172" customWidth="1"/>
    <col min="12044" max="12289" width="8.7265625" style="172"/>
    <col min="12290" max="12290" width="6" style="172" customWidth="1"/>
    <col min="12291" max="12291" width="33.1796875" style="172" customWidth="1"/>
    <col min="12292" max="12292" width="9.1796875" style="172" customWidth="1"/>
    <col min="12293" max="12293" width="7.90625" style="172" customWidth="1"/>
    <col min="12294" max="12294" width="12.6328125" style="172" customWidth="1"/>
    <col min="12295" max="12295" width="8.08984375" style="172" customWidth="1"/>
    <col min="12296" max="12296" width="8.6328125" style="172" customWidth="1"/>
    <col min="12297" max="12298" width="15.08984375" style="172" customWidth="1"/>
    <col min="12299" max="12299" width="9" style="172" customWidth="1"/>
    <col min="12300" max="12545" width="8.7265625" style="172"/>
    <col min="12546" max="12546" width="6" style="172" customWidth="1"/>
    <col min="12547" max="12547" width="33.1796875" style="172" customWidth="1"/>
    <col min="12548" max="12548" width="9.1796875" style="172" customWidth="1"/>
    <col min="12549" max="12549" width="7.90625" style="172" customWidth="1"/>
    <col min="12550" max="12550" width="12.6328125" style="172" customWidth="1"/>
    <col min="12551" max="12551" width="8.08984375" style="172" customWidth="1"/>
    <col min="12552" max="12552" width="8.6328125" style="172" customWidth="1"/>
    <col min="12553" max="12554" width="15.08984375" style="172" customWidth="1"/>
    <col min="12555" max="12555" width="9" style="172" customWidth="1"/>
    <col min="12556" max="12801" width="8.7265625" style="172"/>
    <col min="12802" max="12802" width="6" style="172" customWidth="1"/>
    <col min="12803" max="12803" width="33.1796875" style="172" customWidth="1"/>
    <col min="12804" max="12804" width="9.1796875" style="172" customWidth="1"/>
    <col min="12805" max="12805" width="7.90625" style="172" customWidth="1"/>
    <col min="12806" max="12806" width="12.6328125" style="172" customWidth="1"/>
    <col min="12807" max="12807" width="8.08984375" style="172" customWidth="1"/>
    <col min="12808" max="12808" width="8.6328125" style="172" customWidth="1"/>
    <col min="12809" max="12810" width="15.08984375" style="172" customWidth="1"/>
    <col min="12811" max="12811" width="9" style="172" customWidth="1"/>
    <col min="12812" max="13057" width="8.7265625" style="172"/>
    <col min="13058" max="13058" width="6" style="172" customWidth="1"/>
    <col min="13059" max="13059" width="33.1796875" style="172" customWidth="1"/>
    <col min="13060" max="13060" width="9.1796875" style="172" customWidth="1"/>
    <col min="13061" max="13061" width="7.90625" style="172" customWidth="1"/>
    <col min="13062" max="13062" width="12.6328125" style="172" customWidth="1"/>
    <col min="13063" max="13063" width="8.08984375" style="172" customWidth="1"/>
    <col min="13064" max="13064" width="8.6328125" style="172" customWidth="1"/>
    <col min="13065" max="13066" width="15.08984375" style="172" customWidth="1"/>
    <col min="13067" max="13067" width="9" style="172" customWidth="1"/>
    <col min="13068" max="13313" width="8.7265625" style="172"/>
    <col min="13314" max="13314" width="6" style="172" customWidth="1"/>
    <col min="13315" max="13315" width="33.1796875" style="172" customWidth="1"/>
    <col min="13316" max="13316" width="9.1796875" style="172" customWidth="1"/>
    <col min="13317" max="13317" width="7.90625" style="172" customWidth="1"/>
    <col min="13318" max="13318" width="12.6328125" style="172" customWidth="1"/>
    <col min="13319" max="13319" width="8.08984375" style="172" customWidth="1"/>
    <col min="13320" max="13320" width="8.6328125" style="172" customWidth="1"/>
    <col min="13321" max="13322" width="15.08984375" style="172" customWidth="1"/>
    <col min="13323" max="13323" width="9" style="172" customWidth="1"/>
    <col min="13324" max="13569" width="8.7265625" style="172"/>
    <col min="13570" max="13570" width="6" style="172" customWidth="1"/>
    <col min="13571" max="13571" width="33.1796875" style="172" customWidth="1"/>
    <col min="13572" max="13572" width="9.1796875" style="172" customWidth="1"/>
    <col min="13573" max="13573" width="7.90625" style="172" customWidth="1"/>
    <col min="13574" max="13574" width="12.6328125" style="172" customWidth="1"/>
    <col min="13575" max="13575" width="8.08984375" style="172" customWidth="1"/>
    <col min="13576" max="13576" width="8.6328125" style="172" customWidth="1"/>
    <col min="13577" max="13578" width="15.08984375" style="172" customWidth="1"/>
    <col min="13579" max="13579" width="9" style="172" customWidth="1"/>
    <col min="13580" max="13825" width="8.7265625" style="172"/>
    <col min="13826" max="13826" width="6" style="172" customWidth="1"/>
    <col min="13827" max="13827" width="33.1796875" style="172" customWidth="1"/>
    <col min="13828" max="13828" width="9.1796875" style="172" customWidth="1"/>
    <col min="13829" max="13829" width="7.90625" style="172" customWidth="1"/>
    <col min="13830" max="13830" width="12.6328125" style="172" customWidth="1"/>
    <col min="13831" max="13831" width="8.08984375" style="172" customWidth="1"/>
    <col min="13832" max="13832" width="8.6328125" style="172" customWidth="1"/>
    <col min="13833" max="13834" width="15.08984375" style="172" customWidth="1"/>
    <col min="13835" max="13835" width="9" style="172" customWidth="1"/>
    <col min="13836" max="14081" width="8.7265625" style="172"/>
    <col min="14082" max="14082" width="6" style="172" customWidth="1"/>
    <col min="14083" max="14083" width="33.1796875" style="172" customWidth="1"/>
    <col min="14084" max="14084" width="9.1796875" style="172" customWidth="1"/>
    <col min="14085" max="14085" width="7.90625" style="172" customWidth="1"/>
    <col min="14086" max="14086" width="12.6328125" style="172" customWidth="1"/>
    <col min="14087" max="14087" width="8.08984375" style="172" customWidth="1"/>
    <col min="14088" max="14088" width="8.6328125" style="172" customWidth="1"/>
    <col min="14089" max="14090" width="15.08984375" style="172" customWidth="1"/>
    <col min="14091" max="14091" width="9" style="172" customWidth="1"/>
    <col min="14092" max="14337" width="8.7265625" style="172"/>
    <col min="14338" max="14338" width="6" style="172" customWidth="1"/>
    <col min="14339" max="14339" width="33.1796875" style="172" customWidth="1"/>
    <col min="14340" max="14340" width="9.1796875" style="172" customWidth="1"/>
    <col min="14341" max="14341" width="7.90625" style="172" customWidth="1"/>
    <col min="14342" max="14342" width="12.6328125" style="172" customWidth="1"/>
    <col min="14343" max="14343" width="8.08984375" style="172" customWidth="1"/>
    <col min="14344" max="14344" width="8.6328125" style="172" customWidth="1"/>
    <col min="14345" max="14346" width="15.08984375" style="172" customWidth="1"/>
    <col min="14347" max="14347" width="9" style="172" customWidth="1"/>
    <col min="14348" max="14593" width="8.7265625" style="172"/>
    <col min="14594" max="14594" width="6" style="172" customWidth="1"/>
    <col min="14595" max="14595" width="33.1796875" style="172" customWidth="1"/>
    <col min="14596" max="14596" width="9.1796875" style="172" customWidth="1"/>
    <col min="14597" max="14597" width="7.90625" style="172" customWidth="1"/>
    <col min="14598" max="14598" width="12.6328125" style="172" customWidth="1"/>
    <col min="14599" max="14599" width="8.08984375" style="172" customWidth="1"/>
    <col min="14600" max="14600" width="8.6328125" style="172" customWidth="1"/>
    <col min="14601" max="14602" width="15.08984375" style="172" customWidth="1"/>
    <col min="14603" max="14603" width="9" style="172" customWidth="1"/>
    <col min="14604" max="14849" width="8.7265625" style="172"/>
    <col min="14850" max="14850" width="6" style="172" customWidth="1"/>
    <col min="14851" max="14851" width="33.1796875" style="172" customWidth="1"/>
    <col min="14852" max="14852" width="9.1796875" style="172" customWidth="1"/>
    <col min="14853" max="14853" width="7.90625" style="172" customWidth="1"/>
    <col min="14854" max="14854" width="12.6328125" style="172" customWidth="1"/>
    <col min="14855" max="14855" width="8.08984375" style="172" customWidth="1"/>
    <col min="14856" max="14856" width="8.6328125" style="172" customWidth="1"/>
    <col min="14857" max="14858" width="15.08984375" style="172" customWidth="1"/>
    <col min="14859" max="14859" width="9" style="172" customWidth="1"/>
    <col min="14860" max="15105" width="8.7265625" style="172"/>
    <col min="15106" max="15106" width="6" style="172" customWidth="1"/>
    <col min="15107" max="15107" width="33.1796875" style="172" customWidth="1"/>
    <col min="15108" max="15108" width="9.1796875" style="172" customWidth="1"/>
    <col min="15109" max="15109" width="7.90625" style="172" customWidth="1"/>
    <col min="15110" max="15110" width="12.6328125" style="172" customWidth="1"/>
    <col min="15111" max="15111" width="8.08984375" style="172" customWidth="1"/>
    <col min="15112" max="15112" width="8.6328125" style="172" customWidth="1"/>
    <col min="15113" max="15114" width="15.08984375" style="172" customWidth="1"/>
    <col min="15115" max="15115" width="9" style="172" customWidth="1"/>
    <col min="15116" max="15361" width="8.7265625" style="172"/>
    <col min="15362" max="15362" width="6" style="172" customWidth="1"/>
    <col min="15363" max="15363" width="33.1796875" style="172" customWidth="1"/>
    <col min="15364" max="15364" width="9.1796875" style="172" customWidth="1"/>
    <col min="15365" max="15365" width="7.90625" style="172" customWidth="1"/>
    <col min="15366" max="15366" width="12.6328125" style="172" customWidth="1"/>
    <col min="15367" max="15367" width="8.08984375" style="172" customWidth="1"/>
    <col min="15368" max="15368" width="8.6328125" style="172" customWidth="1"/>
    <col min="15369" max="15370" width="15.08984375" style="172" customWidth="1"/>
    <col min="15371" max="15371" width="9" style="172" customWidth="1"/>
    <col min="15372" max="15617" width="8.7265625" style="172"/>
    <col min="15618" max="15618" width="6" style="172" customWidth="1"/>
    <col min="15619" max="15619" width="33.1796875" style="172" customWidth="1"/>
    <col min="15620" max="15620" width="9.1796875" style="172" customWidth="1"/>
    <col min="15621" max="15621" width="7.90625" style="172" customWidth="1"/>
    <col min="15622" max="15622" width="12.6328125" style="172" customWidth="1"/>
    <col min="15623" max="15623" width="8.08984375" style="172" customWidth="1"/>
    <col min="15624" max="15624" width="8.6328125" style="172" customWidth="1"/>
    <col min="15625" max="15626" width="15.08984375" style="172" customWidth="1"/>
    <col min="15627" max="15627" width="9" style="172" customWidth="1"/>
    <col min="15628" max="15873" width="8.7265625" style="172"/>
    <col min="15874" max="15874" width="6" style="172" customWidth="1"/>
    <col min="15875" max="15875" width="33.1796875" style="172" customWidth="1"/>
    <col min="15876" max="15876" width="9.1796875" style="172" customWidth="1"/>
    <col min="15877" max="15877" width="7.90625" style="172" customWidth="1"/>
    <col min="15878" max="15878" width="12.6328125" style="172" customWidth="1"/>
    <col min="15879" max="15879" width="8.08984375" style="172" customWidth="1"/>
    <col min="15880" max="15880" width="8.6328125" style="172" customWidth="1"/>
    <col min="15881" max="15882" width="15.08984375" style="172" customWidth="1"/>
    <col min="15883" max="15883" width="9" style="172" customWidth="1"/>
    <col min="15884" max="16129" width="8.7265625" style="172"/>
    <col min="16130" max="16130" width="6" style="172" customWidth="1"/>
    <col min="16131" max="16131" width="33.1796875" style="172" customWidth="1"/>
    <col min="16132" max="16132" width="9.1796875" style="172" customWidth="1"/>
    <col min="16133" max="16133" width="7.90625" style="172" customWidth="1"/>
    <col min="16134" max="16134" width="12.6328125" style="172" customWidth="1"/>
    <col min="16135" max="16135" width="8.08984375" style="172" customWidth="1"/>
    <col min="16136" max="16136" width="8.6328125" style="172" customWidth="1"/>
    <col min="16137" max="16138" width="15.08984375" style="172" customWidth="1"/>
    <col min="16139" max="16139" width="9" style="172" customWidth="1"/>
    <col min="16140" max="16384" width="8.7265625" style="172"/>
  </cols>
  <sheetData>
    <row r="1" spans="1:13" s="144" customFormat="1" ht="15.6">
      <c r="A1" s="143"/>
      <c r="B1" s="272" t="s">
        <v>92</v>
      </c>
      <c r="C1" s="272"/>
      <c r="D1" s="272"/>
    </row>
    <row r="2" spans="1:13" s="144" customFormat="1" ht="15.6">
      <c r="A2" s="143"/>
      <c r="B2" s="272" t="s">
        <v>93</v>
      </c>
      <c r="C2" s="272"/>
      <c r="D2" s="272"/>
    </row>
    <row r="3" spans="1:13" s="146" customFormat="1" ht="16.8">
      <c r="A3" s="145"/>
      <c r="B3" s="273" t="s">
        <v>94</v>
      </c>
      <c r="C3" s="273"/>
      <c r="D3" s="273"/>
    </row>
    <row r="4" spans="1:13" s="148" customFormat="1" ht="21">
      <c r="A4" s="147"/>
      <c r="B4" s="271" t="s">
        <v>95</v>
      </c>
      <c r="C4" s="271"/>
      <c r="D4" s="271"/>
      <c r="E4" s="271"/>
      <c r="F4" s="271"/>
      <c r="G4" s="271"/>
      <c r="H4" s="271"/>
      <c r="I4" s="271"/>
      <c r="J4" s="271"/>
      <c r="K4" s="271"/>
    </row>
    <row r="5" spans="1:13" s="151" customFormat="1" ht="21">
      <c r="A5" s="149"/>
      <c r="B5" s="274" t="str">
        <f>"Công trình: "&amp;INFO!B2</f>
        <v>Công trình: CÔNG TY TNHH
THU LỘC</v>
      </c>
      <c r="C5" s="274"/>
      <c r="D5" s="274"/>
      <c r="E5" s="274"/>
      <c r="F5" s="274"/>
      <c r="G5" s="274"/>
      <c r="H5" s="274"/>
      <c r="I5" s="274"/>
      <c r="J5" s="274"/>
      <c r="K5" s="274"/>
      <c r="L5" s="150"/>
      <c r="M5" s="150"/>
    </row>
    <row r="6" spans="1:13" s="148" customFormat="1" ht="16.5" customHeight="1" thickBot="1">
      <c r="A6" s="147"/>
      <c r="B6" s="152"/>
      <c r="C6" s="271"/>
      <c r="D6" s="271"/>
      <c r="E6" s="152"/>
      <c r="F6" s="152"/>
      <c r="G6" s="152"/>
      <c r="H6" s="152"/>
      <c r="I6" s="152"/>
      <c r="J6" s="152"/>
      <c r="K6" s="152"/>
    </row>
    <row r="7" spans="1:13" s="148" customFormat="1" ht="21">
      <c r="A7" s="147"/>
      <c r="B7" s="285" t="s">
        <v>0</v>
      </c>
      <c r="C7" s="276" t="s">
        <v>96</v>
      </c>
      <c r="D7" s="276" t="s">
        <v>45</v>
      </c>
      <c r="E7" s="276" t="s">
        <v>97</v>
      </c>
      <c r="F7" s="276"/>
      <c r="G7" s="287" t="s">
        <v>26</v>
      </c>
      <c r="H7" s="287" t="s">
        <v>98</v>
      </c>
      <c r="I7" s="276" t="s">
        <v>99</v>
      </c>
      <c r="J7" s="276" t="s">
        <v>100</v>
      </c>
      <c r="K7" s="278" t="s">
        <v>25</v>
      </c>
      <c r="L7" s="148" t="s">
        <v>28</v>
      </c>
    </row>
    <row r="8" spans="1:13" s="148" customFormat="1" ht="21">
      <c r="A8" s="147"/>
      <c r="B8" s="286"/>
      <c r="C8" s="277"/>
      <c r="D8" s="277"/>
      <c r="E8" s="153" t="s">
        <v>101</v>
      </c>
      <c r="F8" s="153" t="s">
        <v>77</v>
      </c>
      <c r="G8" s="277"/>
      <c r="H8" s="277"/>
      <c r="I8" s="277"/>
      <c r="J8" s="277"/>
      <c r="K8" s="279"/>
      <c r="L8" s="148">
        <v>1</v>
      </c>
    </row>
    <row r="9" spans="1:13" s="148" customFormat="1" ht="21" hidden="1">
      <c r="A9" s="94" t="s">
        <v>83</v>
      </c>
      <c r="B9" s="95" t="e">
        <f>VLOOKUP(A9,xinmoi,[1]XinMoi!B$2,0)</f>
        <v>#NAME?</v>
      </c>
      <c r="C9" s="95">
        <v>3</v>
      </c>
      <c r="D9" s="95">
        <v>4</v>
      </c>
      <c r="E9" s="154">
        <v>13</v>
      </c>
      <c r="F9" s="154">
        <v>14</v>
      </c>
      <c r="G9" s="154">
        <v>5</v>
      </c>
      <c r="H9" s="154">
        <v>6</v>
      </c>
      <c r="I9" s="153">
        <v>16</v>
      </c>
      <c r="J9" s="153"/>
      <c r="K9" s="155"/>
    </row>
    <row r="10" spans="1:13" s="148" customFormat="1" ht="21">
      <c r="A10" s="147" t="str">
        <f>[1]XinMoi!A3</f>
        <v>13.15.82.585</v>
      </c>
      <c r="B10" s="156">
        <v>1</v>
      </c>
      <c r="C10" s="99" t="str">
        <f>VLOOKUP($B10,[1]XinMoi!$B:$Q,C$9,0)</f>
        <v>Cáp CXV -24kV 185mm2</v>
      </c>
      <c r="D10" s="100" t="str">
        <f>VLOOKUP($B10,[1]XinMoi!$B:$Q,D$9,0)</f>
        <v>mét</v>
      </c>
      <c r="E10" s="101">
        <f>VLOOKUP($B10,[1]XinMoi!$B:$Q,E$9,0)</f>
        <v>84</v>
      </c>
      <c r="F10" s="102">
        <f>VLOOKUP($B10,[1]XinMoi!$B:$Q,F$9,0)</f>
        <v>42915</v>
      </c>
      <c r="G10" s="100">
        <f>VLOOKUP($B10,[1]XinMoi!$B:$Q,G$9,0)</f>
        <v>12</v>
      </c>
      <c r="H10" s="100">
        <f>VLOOKUP($B10,[1]XinMoi!$B:$Q,H$9,0)</f>
        <v>12</v>
      </c>
      <c r="I10" s="157">
        <f>VLOOKUP($B10,[1]XinMoi!$B:$Q,I$9,0)</f>
        <v>240878.33333333334</v>
      </c>
      <c r="J10" s="158">
        <f>IFERROR(ROUND(H10*I10,0),0)</f>
        <v>2890540</v>
      </c>
      <c r="K10" s="159"/>
      <c r="L10" s="148">
        <f>IF(D10&lt;&gt;0,1,0)</f>
        <v>1</v>
      </c>
    </row>
    <row r="11" spans="1:13" s="148" customFormat="1" ht="21">
      <c r="A11" s="147" t="str">
        <f>[1]XinMoi!A6</f>
        <v>14.38.00.028</v>
      </c>
      <c r="B11" s="156">
        <v>2</v>
      </c>
      <c r="C11" s="99" t="str">
        <f>VLOOKUP($B11,[1]XinMoi!$B:$Q,C$9,0)</f>
        <v>Đầu coss ép Cu 185mm2</v>
      </c>
      <c r="D11" s="100" t="str">
        <f>VLOOKUP($B11,[1]XinMoi!$B:$Q,D$9,0)</f>
        <v>cái</v>
      </c>
      <c r="E11" s="101">
        <f>VLOOKUP($B11,[1]XinMoi!$B:$Q,E$9,0)</f>
        <v>84</v>
      </c>
      <c r="F11" s="102">
        <f>VLOOKUP($B11,[1]XinMoi!$B:$Q,F$9,0)</f>
        <v>42915</v>
      </c>
      <c r="G11" s="100">
        <f>VLOOKUP($B11,[1]XinMoi!$B:$Q,G$9,0)</f>
        <v>6</v>
      </c>
      <c r="H11" s="100">
        <f>VLOOKUP($B11,[1]XinMoi!$B:$Q,H$9,0)</f>
        <v>6</v>
      </c>
      <c r="I11" s="157">
        <f>VLOOKUP($B11,[1]XinMoi!$B:$Q,I$9,0)</f>
        <v>49497.333333333336</v>
      </c>
      <c r="J11" s="158">
        <f t="shared" ref="J11:J74" si="0">IFERROR(ROUND(H11*I11,0),0)</f>
        <v>296984</v>
      </c>
      <c r="K11" s="159"/>
      <c r="L11" s="148">
        <f t="shared" ref="L11:L74" si="1">IF(D11&lt;&gt;0,1,0)</f>
        <v>1</v>
      </c>
    </row>
    <row r="12" spans="1:13" s="148" customFormat="1" ht="21">
      <c r="A12" s="147" t="str">
        <f>[1]XinMoi!A7</f>
        <v>14.38.00.030</v>
      </c>
      <c r="B12" s="156">
        <v>3</v>
      </c>
      <c r="C12" s="99" t="str">
        <f>VLOOKUP($B12,[1]XinMoi!$B:$Q,C$9,0)</f>
        <v>Kẹp ép WR 875</v>
      </c>
      <c r="D12" s="100" t="str">
        <f>VLOOKUP($B12,[1]XinMoi!$B:$Q,D$9,0)</f>
        <v>cái</v>
      </c>
      <c r="E12" s="101">
        <f>VLOOKUP($B12,[1]XinMoi!$B:$Q,E$9,0)</f>
        <v>84</v>
      </c>
      <c r="F12" s="102">
        <f>VLOOKUP($B12,[1]XinMoi!$B:$Q,F$9,0)</f>
        <v>42915</v>
      </c>
      <c r="G12" s="100">
        <f>VLOOKUP($B12,[1]XinMoi!$B:$Q,G$9,0)</f>
        <v>6</v>
      </c>
      <c r="H12" s="100">
        <f>VLOOKUP($B12,[1]XinMoi!$B:$Q,H$9,0)</f>
        <v>6</v>
      </c>
      <c r="I12" s="157">
        <f>VLOOKUP($B12,[1]XinMoi!$B:$Q,I$9,0)</f>
        <v>35278.833333333336</v>
      </c>
      <c r="J12" s="158">
        <f t="shared" si="0"/>
        <v>211673</v>
      </c>
      <c r="K12" s="159"/>
      <c r="L12" s="148">
        <f t="shared" si="1"/>
        <v>1</v>
      </c>
    </row>
    <row r="13" spans="1:13" s="148" customFormat="1" ht="21">
      <c r="A13" s="147" t="str">
        <f>[1]XinMoi!A8</f>
        <v>14.38.00.065</v>
      </c>
      <c r="B13" s="156">
        <v>4</v>
      </c>
      <c r="C13" s="99" t="str">
        <f>VLOOKUP($B13,[1]XinMoi!$B:$Q,C$9,0)</f>
        <v>Boulon 12x40/Zn</v>
      </c>
      <c r="D13" s="100" t="str">
        <f>VLOOKUP($B13,[1]XinMoi!$B:$Q,D$9,0)</f>
        <v>cái</v>
      </c>
      <c r="E13" s="101" t="str">
        <f>VLOOKUP($B13,[1]XinMoi!$B:$Q,E$9,0)</f>
        <v/>
      </c>
      <c r="F13" s="102" t="str">
        <f>VLOOKUP($B13,[1]XinMoi!$B:$Q,F$9,0)</f>
        <v/>
      </c>
      <c r="G13" s="100">
        <f>VLOOKUP($B13,[1]XinMoi!$B:$Q,G$9,0)</f>
        <v>18</v>
      </c>
      <c r="H13" s="100">
        <f>VLOOKUP($B13,[1]XinMoi!$B:$Q,H$9,0)</f>
        <v>0</v>
      </c>
      <c r="I13" s="157">
        <f>VLOOKUP($B13,[1]XinMoi!$B:$Q,I$9,0)</f>
        <v>0</v>
      </c>
      <c r="J13" s="158">
        <f t="shared" si="0"/>
        <v>0</v>
      </c>
      <c r="K13" s="159"/>
      <c r="L13" s="148">
        <f t="shared" si="1"/>
        <v>1</v>
      </c>
    </row>
    <row r="14" spans="1:13" s="148" customFormat="1" ht="21">
      <c r="A14" s="147" t="str">
        <f>[1]XinMoi!A10</f>
        <v>14.38.00.067</v>
      </c>
      <c r="B14" s="156">
        <v>5</v>
      </c>
      <c r="C14" s="99" t="str">
        <f>VLOOKUP($B14,[1]XinMoi!$B:$Q,C$9,0)</f>
        <v>Boulon 12x50/Zn</v>
      </c>
      <c r="D14" s="100" t="str">
        <f>VLOOKUP($B14,[1]XinMoi!$B:$Q,D$9,0)</f>
        <v>cái</v>
      </c>
      <c r="E14" s="101">
        <f>VLOOKUP($B14,[1]XinMoi!$B:$Q,E$9,0)</f>
        <v>84</v>
      </c>
      <c r="F14" s="102">
        <f>VLOOKUP($B14,[1]XinMoi!$B:$Q,F$9,0)</f>
        <v>42915</v>
      </c>
      <c r="G14" s="100">
        <f>VLOOKUP($B14,[1]XinMoi!$B:$Q,G$9,0)</f>
        <v>0</v>
      </c>
      <c r="H14" s="100">
        <f>VLOOKUP($B14,[1]XinMoi!$B:$Q,H$9,0)</f>
        <v>18</v>
      </c>
      <c r="I14" s="157">
        <f>VLOOKUP($B14,[1]XinMoi!$B:$Q,I$9,0)</f>
        <v>4005.8333333333335</v>
      </c>
      <c r="J14" s="158">
        <f t="shared" si="0"/>
        <v>72105</v>
      </c>
      <c r="K14" s="159"/>
      <c r="L14" s="148">
        <f t="shared" si="1"/>
        <v>1</v>
      </c>
    </row>
    <row r="15" spans="1:13" s="148" customFormat="1" ht="21">
      <c r="A15" s="147" t="str">
        <f>[1]XinMoi!A11</f>
        <v>14.90.80.009</v>
      </c>
      <c r="B15" s="156">
        <v>6</v>
      </c>
      <c r="C15" s="99" t="str">
        <f>VLOOKUP($B15,[1]XinMoi!$B:$Q,C$9,0)</f>
        <v>Boulon 16x300/Zn</v>
      </c>
      <c r="D15" s="100" t="str">
        <f>VLOOKUP($B15,[1]XinMoi!$B:$Q,D$9,0)</f>
        <v>cái</v>
      </c>
      <c r="E15" s="101">
        <f>VLOOKUP($B15,[1]XinMoi!$B:$Q,E$9,0)</f>
        <v>84</v>
      </c>
      <c r="F15" s="102">
        <f>VLOOKUP($B15,[1]XinMoi!$B:$Q,F$9,0)</f>
        <v>42915</v>
      </c>
      <c r="G15" s="100">
        <f>VLOOKUP($B15,[1]XinMoi!$B:$Q,G$9,0)</f>
        <v>4</v>
      </c>
      <c r="H15" s="100">
        <f>VLOOKUP($B15,[1]XinMoi!$B:$Q,H$9,0)</f>
        <v>4</v>
      </c>
      <c r="I15" s="157">
        <f>VLOOKUP($B15,[1]XinMoi!$B:$Q,I$9,0)</f>
        <v>16466</v>
      </c>
      <c r="J15" s="158">
        <f t="shared" si="0"/>
        <v>65864</v>
      </c>
      <c r="K15" s="159"/>
      <c r="L15" s="148">
        <f t="shared" si="1"/>
        <v>1</v>
      </c>
    </row>
    <row r="16" spans="1:13" s="148" customFormat="1" ht="21">
      <c r="A16" s="147" t="str">
        <f>[1]XinMoi!A15</f>
        <v>14.70.21.018</v>
      </c>
      <c r="B16" s="156">
        <v>7</v>
      </c>
      <c r="C16" s="99" t="str">
        <f>VLOOKUP($B16,[1]XinMoi!$B:$Q,C$9,0)</f>
        <v>Boulon 16x450/Zn</v>
      </c>
      <c r="D16" s="100" t="str">
        <f>VLOOKUP($B16,[1]XinMoi!$B:$Q,D$9,0)</f>
        <v>cái</v>
      </c>
      <c r="E16" s="101" t="str">
        <f>VLOOKUP($B16,[1]XinMoi!$B:$Q,E$9,0)</f>
        <v/>
      </c>
      <c r="F16" s="102" t="str">
        <f>VLOOKUP($B16,[1]XinMoi!$B:$Q,F$9,0)</f>
        <v/>
      </c>
      <c r="G16" s="100">
        <f>VLOOKUP($B16,[1]XinMoi!$B:$Q,G$9,0)</f>
        <v>2</v>
      </c>
      <c r="H16" s="100">
        <f>VLOOKUP($B16,[1]XinMoi!$B:$Q,H$9,0)</f>
        <v>0</v>
      </c>
      <c r="I16" s="157">
        <f>VLOOKUP($B16,[1]XinMoi!$B:$Q,I$9,0)</f>
        <v>0</v>
      </c>
      <c r="J16" s="158">
        <f t="shared" si="0"/>
        <v>0</v>
      </c>
      <c r="K16" s="159"/>
      <c r="L16" s="148">
        <f t="shared" si="1"/>
        <v>1</v>
      </c>
    </row>
    <row r="17" spans="1:12" s="148" customFormat="1" ht="21">
      <c r="A17" s="147" t="str">
        <f>[1]XinMoi!A16</f>
        <v>14.90.21.027</v>
      </c>
      <c r="B17" s="156">
        <v>8</v>
      </c>
      <c r="C17" s="99" t="str">
        <f>VLOOKUP($B17,[1]XinMoi!$B:$Q,C$9,0)</f>
        <v>Boulon 16x400/Zn</v>
      </c>
      <c r="D17" s="100" t="str">
        <f>VLOOKUP($B17,[1]XinMoi!$B:$Q,D$9,0)</f>
        <v>cái</v>
      </c>
      <c r="E17" s="101">
        <f>VLOOKUP($B17,[1]XinMoi!$B:$Q,E$9,0)</f>
        <v>84</v>
      </c>
      <c r="F17" s="102">
        <f>VLOOKUP($B17,[1]XinMoi!$B:$Q,F$9,0)</f>
        <v>42915</v>
      </c>
      <c r="G17" s="100">
        <f>VLOOKUP($B17,[1]XinMoi!$B:$Q,G$9,0)</f>
        <v>0</v>
      </c>
      <c r="H17" s="100">
        <f>VLOOKUP($B17,[1]XinMoi!$B:$Q,H$9,0)</f>
        <v>2</v>
      </c>
      <c r="I17" s="157">
        <f>VLOOKUP($B17,[1]XinMoi!$B:$Q,I$9,0)</f>
        <v>22000</v>
      </c>
      <c r="J17" s="158">
        <f t="shared" si="0"/>
        <v>44000</v>
      </c>
      <c r="K17" s="159"/>
      <c r="L17" s="148">
        <f t="shared" si="1"/>
        <v>1</v>
      </c>
    </row>
    <row r="18" spans="1:12" s="148" customFormat="1" ht="21">
      <c r="A18" s="147" t="str">
        <f>[1]XinMoi!A17</f>
        <v>14.90.21.060</v>
      </c>
      <c r="B18" s="156">
        <v>9</v>
      </c>
      <c r="C18" s="99" t="str">
        <f>VLOOKUP($B18,[1]XinMoi!$B:$Q,C$9,0)</f>
        <v>Chụp LA</v>
      </c>
      <c r="D18" s="100" t="str">
        <f>VLOOKUP($B18,[1]XinMoi!$B:$Q,D$9,0)</f>
        <v>cái</v>
      </c>
      <c r="E18" s="101">
        <f>VLOOKUP($B18,[1]XinMoi!$B:$Q,E$9,0)</f>
        <v>84</v>
      </c>
      <c r="F18" s="102">
        <f>VLOOKUP($B18,[1]XinMoi!$B:$Q,F$9,0)</f>
        <v>42915</v>
      </c>
      <c r="G18" s="100">
        <f>VLOOKUP($B18,[1]XinMoi!$B:$Q,G$9,0)</f>
        <v>6</v>
      </c>
      <c r="H18" s="100">
        <f>VLOOKUP($B18,[1]XinMoi!$B:$Q,H$9,0)</f>
        <v>6</v>
      </c>
      <c r="I18" s="157">
        <f>VLOOKUP($B18,[1]XinMoi!$B:$Q,I$9,0)</f>
        <v>32493.166666666668</v>
      </c>
      <c r="J18" s="158">
        <f t="shared" si="0"/>
        <v>194959</v>
      </c>
      <c r="K18" s="159"/>
      <c r="L18" s="148">
        <f t="shared" si="1"/>
        <v>1</v>
      </c>
    </row>
    <row r="19" spans="1:12" s="148" customFormat="1" ht="21">
      <c r="A19" s="147" t="str">
        <f>[1]XinMoi!A18</f>
        <v>14.90.51.027</v>
      </c>
      <c r="B19" s="156">
        <v>10</v>
      </c>
      <c r="C19" s="99" t="str">
        <f>VLOOKUP($B19,[1]XinMoi!$B:$Q,C$9,0)</f>
        <v>Chụp bussing recloser</v>
      </c>
      <c r="D19" s="100" t="str">
        <f>VLOOKUP($B19,[1]XinMoi!$B:$Q,D$9,0)</f>
        <v>cái</v>
      </c>
      <c r="E19" s="101">
        <f>VLOOKUP($B19,[1]XinMoi!$B:$Q,E$9,0)</f>
        <v>84</v>
      </c>
      <c r="F19" s="102">
        <f>VLOOKUP($B19,[1]XinMoi!$B:$Q,F$9,0)</f>
        <v>42915</v>
      </c>
      <c r="G19" s="100">
        <f>VLOOKUP($B19,[1]XinMoi!$B:$Q,G$9,0)</f>
        <v>6</v>
      </c>
      <c r="H19" s="100">
        <f>VLOOKUP($B19,[1]XinMoi!$B:$Q,H$9,0)</f>
        <v>6</v>
      </c>
      <c r="I19" s="157">
        <f>VLOOKUP($B19,[1]XinMoi!$B:$Q,I$9,0)</f>
        <v>50203.166666666664</v>
      </c>
      <c r="J19" s="158">
        <f t="shared" si="0"/>
        <v>301219</v>
      </c>
      <c r="K19" s="159"/>
      <c r="L19" s="148">
        <f t="shared" si="1"/>
        <v>1</v>
      </c>
    </row>
    <row r="20" spans="1:12" s="148" customFormat="1" ht="21">
      <c r="A20" s="147" t="str">
        <f>[1]XinMoi!A19</f>
        <v>14.90.51.060</v>
      </c>
      <c r="B20" s="156">
        <v>11</v>
      </c>
      <c r="C20" s="99" t="str">
        <f>VLOOKUP($B20,[1]XinMoi!$B:$Q,C$9,0)</f>
        <v xml:space="preserve">Chụp FCO </v>
      </c>
      <c r="D20" s="100" t="str">
        <f>VLOOKUP($B20,[1]XinMoi!$B:$Q,D$9,0)</f>
        <v>bộ</v>
      </c>
      <c r="E20" s="101">
        <f>VLOOKUP($B20,[1]XinMoi!$B:$Q,E$9,0)</f>
        <v>84</v>
      </c>
      <c r="F20" s="102">
        <f>VLOOKUP($B20,[1]XinMoi!$B:$Q,F$9,0)</f>
        <v>42915</v>
      </c>
      <c r="G20" s="100">
        <f>VLOOKUP($B20,[1]XinMoi!$B:$Q,G$9,0)</f>
        <v>1</v>
      </c>
      <c r="H20" s="100">
        <f>VLOOKUP($B20,[1]XinMoi!$B:$Q,H$9,0)</f>
        <v>1</v>
      </c>
      <c r="I20" s="157">
        <f>VLOOKUP($B20,[1]XinMoi!$B:$Q,I$9,0)</f>
        <v>172200</v>
      </c>
      <c r="J20" s="158">
        <f t="shared" si="0"/>
        <v>172200</v>
      </c>
      <c r="K20" s="159"/>
      <c r="L20" s="148">
        <f t="shared" si="1"/>
        <v>1</v>
      </c>
    </row>
    <row r="21" spans="1:12" s="148" customFormat="1" ht="21">
      <c r="A21" s="147" t="e">
        <f>[1]XinMoi!#REF!</f>
        <v>#REF!</v>
      </c>
      <c r="B21" s="156">
        <v>12</v>
      </c>
      <c r="C21" s="99" t="str">
        <f>VLOOKUP($B21,[1]XinMoi!$B:$Q,C$9,0)</f>
        <v xml:space="preserve">Long đền vuông 50x50x3/Zn D14 </v>
      </c>
      <c r="D21" s="100" t="str">
        <f>VLOOKUP($B21,[1]XinMoi!$B:$Q,D$9,0)</f>
        <v>cái</v>
      </c>
      <c r="E21" s="101">
        <f>VLOOKUP($B21,[1]XinMoi!$B:$Q,E$9,0)</f>
        <v>84</v>
      </c>
      <c r="F21" s="102">
        <f>VLOOKUP($B21,[1]XinMoi!$B:$Q,F$9,0)</f>
        <v>42915</v>
      </c>
      <c r="G21" s="100">
        <f>VLOOKUP($B21,[1]XinMoi!$B:$Q,G$9,0)</f>
        <v>36</v>
      </c>
      <c r="H21" s="100">
        <f>VLOOKUP($B21,[1]XinMoi!$B:$Q,H$9,0)</f>
        <v>36</v>
      </c>
      <c r="I21" s="157">
        <f>VLOOKUP($B21,[1]XinMoi!$B:$Q,I$9,0)</f>
        <v>1300</v>
      </c>
      <c r="J21" s="158">
        <f t="shared" si="0"/>
        <v>46800</v>
      </c>
      <c r="K21" s="159"/>
      <c r="L21" s="148">
        <f t="shared" si="1"/>
        <v>1</v>
      </c>
    </row>
    <row r="22" spans="1:12" s="148" customFormat="1" ht="21">
      <c r="A22" s="147" t="str">
        <f>[1]XinMoi!A22</f>
        <v>12.78.81.007</v>
      </c>
      <c r="B22" s="156">
        <v>13</v>
      </c>
      <c r="C22" s="99" t="str">
        <f>VLOOKUP($B22,[1]XinMoi!$B:$Q,C$9,0)</f>
        <v xml:space="preserve">Long đền vuông 50x50x3/Zn D18 </v>
      </c>
      <c r="D22" s="100" t="str">
        <f>VLOOKUP($B22,[1]XinMoi!$B:$Q,D$9,0)</f>
        <v>cái</v>
      </c>
      <c r="E22" s="101">
        <f>VLOOKUP($B22,[1]XinMoi!$B:$Q,E$9,0)</f>
        <v>85</v>
      </c>
      <c r="F22" s="102">
        <f>VLOOKUP($B22,[1]XinMoi!$B:$Q,F$9,0)</f>
        <v>42915</v>
      </c>
      <c r="G22" s="100">
        <f>VLOOKUP($B22,[1]XinMoi!$B:$Q,G$9,0)</f>
        <v>12</v>
      </c>
      <c r="H22" s="100">
        <f>VLOOKUP($B22,[1]XinMoi!$B:$Q,H$9,0)</f>
        <v>12</v>
      </c>
      <c r="I22" s="157">
        <f>VLOOKUP($B22,[1]XinMoi!$B:$Q,I$9,0)</f>
        <v>1793.1666666666667</v>
      </c>
      <c r="J22" s="158">
        <f t="shared" si="0"/>
        <v>21518</v>
      </c>
      <c r="K22" s="159"/>
      <c r="L22" s="148">
        <f t="shared" si="1"/>
        <v>1</v>
      </c>
    </row>
    <row r="23" spans="1:12" s="148" customFormat="1" ht="21">
      <c r="A23" s="147" t="str">
        <f>[1]XinMoi!A24</f>
        <v>23.06.50.060</v>
      </c>
      <c r="B23" s="156">
        <v>14</v>
      </c>
      <c r="C23" s="99" t="str">
        <f>VLOOKUP($B23,[1]XinMoi!$B:$Q,C$9,0)</f>
        <v>Ống PVC DK27</v>
      </c>
      <c r="D23" s="100" t="str">
        <f>VLOOKUP($B23,[1]XinMoi!$B:$Q,D$9,0)</f>
        <v>mét</v>
      </c>
      <c r="E23" s="101">
        <f>VLOOKUP($B23,[1]XinMoi!$B:$Q,E$9,0)</f>
        <v>85</v>
      </c>
      <c r="F23" s="102">
        <f>VLOOKUP($B23,[1]XinMoi!$B:$Q,F$9,0)</f>
        <v>42915</v>
      </c>
      <c r="G23" s="100">
        <f>VLOOKUP($B23,[1]XinMoi!$B:$Q,G$9,0)</f>
        <v>7</v>
      </c>
      <c r="H23" s="100">
        <f>VLOOKUP($B23,[1]XinMoi!$B:$Q,H$9,0)</f>
        <v>7</v>
      </c>
      <c r="I23" s="157">
        <f>VLOOKUP($B23,[1]XinMoi!$B:$Q,I$9,0)</f>
        <v>11157.142857142857</v>
      </c>
      <c r="J23" s="158">
        <f t="shared" si="0"/>
        <v>78100</v>
      </c>
      <c r="K23" s="159"/>
      <c r="L23" s="148">
        <f t="shared" si="1"/>
        <v>1</v>
      </c>
    </row>
    <row r="24" spans="1:12" s="148" customFormat="1" ht="21">
      <c r="A24" s="147" t="str">
        <f>[1]XinMoi!A25</f>
        <v>14.90.80.708</v>
      </c>
      <c r="B24" s="156">
        <v>15</v>
      </c>
      <c r="C24" s="99" t="str">
        <f>VLOOKUP($B24,[1]XinMoi!$B:$Q,C$9,0)</f>
        <v>Ống PVC DK60</v>
      </c>
      <c r="D24" s="100" t="str">
        <f>VLOOKUP($B24,[1]XinMoi!$B:$Q,D$9,0)</f>
        <v>mét</v>
      </c>
      <c r="E24" s="101">
        <f>VLOOKUP($B24,[1]XinMoi!$B:$Q,E$9,0)</f>
        <v>85</v>
      </c>
      <c r="F24" s="102">
        <f>VLOOKUP($B24,[1]XinMoi!$B:$Q,F$9,0)</f>
        <v>42915</v>
      </c>
      <c r="G24" s="100">
        <f>VLOOKUP($B24,[1]XinMoi!$B:$Q,G$9,0)</f>
        <v>7</v>
      </c>
      <c r="H24" s="100">
        <f>VLOOKUP($B24,[1]XinMoi!$B:$Q,H$9,0)</f>
        <v>7</v>
      </c>
      <c r="I24" s="157">
        <f>VLOOKUP($B24,[1]XinMoi!$B:$Q,I$9,0)</f>
        <v>23396.714285714286</v>
      </c>
      <c r="J24" s="158">
        <f t="shared" si="0"/>
        <v>163777</v>
      </c>
      <c r="K24" s="159"/>
      <c r="L24" s="148">
        <f t="shared" si="1"/>
        <v>1</v>
      </c>
    </row>
    <row r="25" spans="1:12" s="148" customFormat="1" ht="21">
      <c r="A25" s="147" t="str">
        <f>[1]XinMoi!A26</f>
        <v>13.70.76.007</v>
      </c>
      <c r="B25" s="156">
        <v>16</v>
      </c>
      <c r="C25" s="99" t="str">
        <f>VLOOKUP($B25,[1]XinMoi!$B:$Q,C$9,0)</f>
        <v>Co PVC 900 –DK27</v>
      </c>
      <c r="D25" s="100" t="str">
        <f>VLOOKUP($B25,[1]XinMoi!$B:$Q,D$9,0)</f>
        <v>cái</v>
      </c>
      <c r="E25" s="101">
        <f>VLOOKUP($B25,[1]XinMoi!$B:$Q,E$9,0)</f>
        <v>85</v>
      </c>
      <c r="F25" s="102">
        <f>VLOOKUP($B25,[1]XinMoi!$B:$Q,F$9,0)</f>
        <v>42915</v>
      </c>
      <c r="G25" s="100">
        <f>VLOOKUP($B25,[1]XinMoi!$B:$Q,G$9,0)</f>
        <v>2</v>
      </c>
      <c r="H25" s="100">
        <f>VLOOKUP($B25,[1]XinMoi!$B:$Q,H$9,0)</f>
        <v>2</v>
      </c>
      <c r="I25" s="157">
        <f>VLOOKUP($B25,[1]XinMoi!$B:$Q,I$9,0)</f>
        <v>4500</v>
      </c>
      <c r="J25" s="158">
        <f t="shared" si="0"/>
        <v>9000</v>
      </c>
      <c r="K25" s="159"/>
      <c r="L25" s="148">
        <f t="shared" si="1"/>
        <v>1</v>
      </c>
    </row>
    <row r="26" spans="1:12" s="148" customFormat="1" ht="21">
      <c r="A26" s="147" t="str">
        <f>[1]XinMoi!A27</f>
        <v>0</v>
      </c>
      <c r="B26" s="156">
        <v>17</v>
      </c>
      <c r="C26" s="99" t="str">
        <f>VLOOKUP($B26,[1]XinMoi!$B:$Q,C$9,0)</f>
        <v>Co PVC 900 –DK60</v>
      </c>
      <c r="D26" s="100" t="str">
        <f>VLOOKUP($B26,[1]XinMoi!$B:$Q,D$9,0)</f>
        <v>cái</v>
      </c>
      <c r="E26" s="101">
        <f>VLOOKUP($B26,[1]XinMoi!$B:$Q,E$9,0)</f>
        <v>85</v>
      </c>
      <c r="F26" s="102">
        <f>VLOOKUP($B26,[1]XinMoi!$B:$Q,F$9,0)</f>
        <v>42915</v>
      </c>
      <c r="G26" s="100">
        <f>VLOOKUP($B26,[1]XinMoi!$B:$Q,G$9,0)</f>
        <v>2</v>
      </c>
      <c r="H26" s="100">
        <f>VLOOKUP($B26,[1]XinMoi!$B:$Q,H$9,0)</f>
        <v>2</v>
      </c>
      <c r="I26" s="157">
        <f>VLOOKUP($B26,[1]XinMoi!$B:$Q,I$9,0)</f>
        <v>9083.5</v>
      </c>
      <c r="J26" s="158">
        <f t="shared" si="0"/>
        <v>18167</v>
      </c>
      <c r="K26" s="159"/>
      <c r="L26" s="148">
        <f t="shared" si="1"/>
        <v>1</v>
      </c>
    </row>
    <row r="27" spans="1:12" s="148" customFormat="1" ht="21">
      <c r="A27" s="147" t="str">
        <f>[1]XinMoi!A28</f>
        <v>0</v>
      </c>
      <c r="B27" s="156">
        <v>18</v>
      </c>
      <c r="C27" s="99" t="str">
        <f>VLOOKUP($B27,[1]XinMoi!$B:$Q,C$9,0)</f>
        <v>Cổ dê kẹp ống PVC DK 27</v>
      </c>
      <c r="D27" s="100" t="str">
        <f>VLOOKUP($B27,[1]XinMoi!$B:$Q,D$9,0)</f>
        <v>cái</v>
      </c>
      <c r="E27" s="101" t="str">
        <f>VLOOKUP($B27,[1]XinMoi!$B:$Q,E$9,0)</f>
        <v/>
      </c>
      <c r="F27" s="102" t="str">
        <f>VLOOKUP($B27,[1]XinMoi!$B:$Q,F$9,0)</f>
        <v/>
      </c>
      <c r="G27" s="100">
        <f>VLOOKUP($B27,[1]XinMoi!$B:$Q,G$9,0)</f>
        <v>3</v>
      </c>
      <c r="H27" s="100">
        <f>VLOOKUP($B27,[1]XinMoi!$B:$Q,H$9,0)</f>
        <v>0</v>
      </c>
      <c r="I27" s="157">
        <f>VLOOKUP($B27,[1]XinMoi!$B:$Q,I$9,0)</f>
        <v>0</v>
      </c>
      <c r="J27" s="158">
        <f t="shared" si="0"/>
        <v>0</v>
      </c>
      <c r="K27" s="159"/>
      <c r="L27" s="148">
        <f t="shared" si="1"/>
        <v>1</v>
      </c>
    </row>
    <row r="28" spans="1:12" s="148" customFormat="1" ht="21">
      <c r="A28" s="147" t="str">
        <f>[1]XinMoi!A31</f>
        <v>0</v>
      </c>
      <c r="B28" s="156">
        <v>19</v>
      </c>
      <c r="C28" s="99" t="str">
        <f>VLOOKUP($B28,[1]XinMoi!$B:$Q,C$9,0)</f>
        <v>Khoá đai cho đai Inox 20x0,4</v>
      </c>
      <c r="D28" s="100" t="str">
        <f>VLOOKUP($B28,[1]XinMoi!$B:$Q,D$9,0)</f>
        <v>cái</v>
      </c>
      <c r="E28" s="101">
        <f>VLOOKUP($B28,[1]XinMoi!$B:$Q,E$9,0)</f>
        <v>85</v>
      </c>
      <c r="F28" s="102">
        <f>VLOOKUP($B28,[1]XinMoi!$B:$Q,F$9,0)</f>
        <v>42915</v>
      </c>
      <c r="G28" s="100">
        <f>VLOOKUP($B28,[1]XinMoi!$B:$Q,G$9,0)</f>
        <v>0</v>
      </c>
      <c r="H28" s="100">
        <f>VLOOKUP($B28,[1]XinMoi!$B:$Q,H$9,0)</f>
        <v>3</v>
      </c>
      <c r="I28" s="157">
        <f>VLOOKUP($B28,[1]XinMoi!$B:$Q,I$9,0)</f>
        <v>1414.3333333333333</v>
      </c>
      <c r="J28" s="158">
        <f t="shared" si="0"/>
        <v>4243</v>
      </c>
      <c r="K28" s="159"/>
      <c r="L28" s="148">
        <f t="shared" si="1"/>
        <v>1</v>
      </c>
    </row>
    <row r="29" spans="1:12" s="148" customFormat="1" ht="21">
      <c r="A29" s="147" t="str">
        <f>[1]XinMoi!A33</f>
        <v>0</v>
      </c>
      <c r="B29" s="156">
        <v>20</v>
      </c>
      <c r="C29" s="99" t="str">
        <f>VLOOKUP($B29,[1]XinMoi!$B:$Q,C$9,0)</f>
        <v>Dây rút thép 20x0,4mm</v>
      </c>
      <c r="D29" s="100" t="str">
        <f>VLOOKUP($B29,[1]XinMoi!$B:$Q,D$9,0)</f>
        <v>mét</v>
      </c>
      <c r="E29" s="101">
        <f>VLOOKUP($B29,[1]XinMoi!$B:$Q,E$9,0)</f>
        <v>85</v>
      </c>
      <c r="F29" s="102">
        <f>VLOOKUP($B29,[1]XinMoi!$B:$Q,F$9,0)</f>
        <v>42915</v>
      </c>
      <c r="G29" s="100">
        <f>VLOOKUP($B29,[1]XinMoi!$B:$Q,G$9,0)</f>
        <v>0</v>
      </c>
      <c r="H29" s="100">
        <f>VLOOKUP($B29,[1]XinMoi!$B:$Q,H$9,0)</f>
        <v>3.6</v>
      </c>
      <c r="I29" s="157">
        <f>VLOOKUP($B29,[1]XinMoi!$B:$Q,I$9,0)</f>
        <v>3863.333333333333</v>
      </c>
      <c r="J29" s="158">
        <f t="shared" si="0"/>
        <v>13908</v>
      </c>
      <c r="K29" s="159"/>
      <c r="L29" s="148">
        <f t="shared" si="1"/>
        <v>1</v>
      </c>
    </row>
    <row r="30" spans="1:12" s="148" customFormat="1" ht="21">
      <c r="A30" s="147" t="str">
        <f>[1]XinMoi!A35</f>
        <v>0</v>
      </c>
      <c r="B30" s="156">
        <v>21</v>
      </c>
      <c r="C30" s="99" t="str">
        <f>VLOOKUP($B30,[1]XinMoi!$B:$Q,C$9,0)</f>
        <v>Cổ dê kẹp ống PVC DK 60</v>
      </c>
      <c r="D30" s="100" t="str">
        <f>VLOOKUP($B30,[1]XinMoi!$B:$Q,D$9,0)</f>
        <v>cái</v>
      </c>
      <c r="E30" s="101">
        <f>VLOOKUP($B30,[1]XinMoi!$B:$Q,E$9,0)</f>
        <v>85</v>
      </c>
      <c r="F30" s="102">
        <f>VLOOKUP($B30,[1]XinMoi!$B:$Q,F$9,0)</f>
        <v>42915</v>
      </c>
      <c r="G30" s="100">
        <f>VLOOKUP($B30,[1]XinMoi!$B:$Q,G$9,0)</f>
        <v>6</v>
      </c>
      <c r="H30" s="100">
        <f>VLOOKUP($B30,[1]XinMoi!$B:$Q,H$9,0)</f>
        <v>3</v>
      </c>
      <c r="I30" s="157">
        <f>VLOOKUP($B30,[1]XinMoi!$B:$Q,I$9,0)</f>
        <v>49600</v>
      </c>
      <c r="J30" s="158">
        <f t="shared" si="0"/>
        <v>148800</v>
      </c>
      <c r="K30" s="159"/>
      <c r="L30" s="148">
        <f t="shared" si="1"/>
        <v>1</v>
      </c>
    </row>
    <row r="31" spans="1:12" s="148" customFormat="1" ht="21">
      <c r="A31" s="147" t="str">
        <f>[1]XinMoi!A36</f>
        <v>0</v>
      </c>
      <c r="B31" s="156">
        <v>22</v>
      </c>
      <c r="C31" s="99" t="str">
        <f>VLOOKUP($B31,[1]XinMoi!$B:$Q,C$9,0)</f>
        <v>Cổ dê kẹp ống PVC DK 60</v>
      </c>
      <c r="D31" s="100" t="str">
        <f>VLOOKUP($B31,[1]XinMoi!$B:$Q,D$9,0)</f>
        <v>cái</v>
      </c>
      <c r="E31" s="101">
        <f>VLOOKUP($B31,[1]XinMoi!$B:$Q,E$9,0)</f>
        <v>117</v>
      </c>
      <c r="F31" s="102">
        <f>VLOOKUP($B31,[1]XinMoi!$B:$Q,F$9,0)</f>
        <v>42949</v>
      </c>
      <c r="G31" s="100">
        <f>VLOOKUP($B31,[1]XinMoi!$B:$Q,G$9,0)</f>
        <v>0</v>
      </c>
      <c r="H31" s="100">
        <f>VLOOKUP($B31,[1]XinMoi!$B:$Q,H$9,0)</f>
        <v>3</v>
      </c>
      <c r="I31" s="157">
        <f>VLOOKUP($B31,[1]XinMoi!$B:$Q,I$9,0)</f>
        <v>49600</v>
      </c>
      <c r="J31" s="158">
        <f t="shared" si="0"/>
        <v>148800</v>
      </c>
      <c r="K31" s="159"/>
      <c r="L31" s="148">
        <f t="shared" si="1"/>
        <v>1</v>
      </c>
    </row>
    <row r="32" spans="1:12" s="148" customFormat="1" ht="21">
      <c r="A32" s="147" t="str">
        <f>[1]XinMoi!A37</f>
        <v>0</v>
      </c>
      <c r="B32" s="156">
        <v>23</v>
      </c>
      <c r="C32" s="99" t="str">
        <f>VLOOKUP($B32,[1]XinMoi!$B:$Q,C$9,0)</f>
        <v>Ống chụp cách điện 1,2m cỡ dây AC185</v>
      </c>
      <c r="D32" s="100" t="str">
        <f>VLOOKUP($B32,[1]XinMoi!$B:$Q,D$9,0)</f>
        <v>ống</v>
      </c>
      <c r="E32" s="101">
        <f>VLOOKUP($B32,[1]XinMoi!$B:$Q,E$9,0)</f>
        <v>85</v>
      </c>
      <c r="F32" s="102">
        <f>VLOOKUP($B32,[1]XinMoi!$B:$Q,F$9,0)</f>
        <v>42915</v>
      </c>
      <c r="G32" s="100">
        <f>VLOOKUP($B32,[1]XinMoi!$B:$Q,G$9,0)</f>
        <v>1</v>
      </c>
      <c r="H32" s="100">
        <f>VLOOKUP($B32,[1]XinMoi!$B:$Q,H$9,0)</f>
        <v>1</v>
      </c>
      <c r="I32" s="157">
        <f>VLOOKUP($B32,[1]XinMoi!$B:$Q,I$9,0)</f>
        <v>130000</v>
      </c>
      <c r="J32" s="158">
        <f t="shared" si="0"/>
        <v>130000</v>
      </c>
      <c r="K32" s="159"/>
      <c r="L32" s="148">
        <f t="shared" si="1"/>
        <v>1</v>
      </c>
    </row>
    <row r="33" spans="1:12" s="148" customFormat="1" ht="21">
      <c r="A33" s="147" t="str">
        <f>[1]XinMoi!A38</f>
        <v>0</v>
      </c>
      <c r="B33" s="156">
        <v>24</v>
      </c>
      <c r="C33" s="99" t="str">
        <f>VLOOKUP($B33,[1]XinMoi!$B:$Q,C$9,0)</f>
        <v>Băng keo hạ thế</v>
      </c>
      <c r="D33" s="100" t="str">
        <f>VLOOKUP($B33,[1]XinMoi!$B:$Q,D$9,0)</f>
        <v>cuộn</v>
      </c>
      <c r="E33" s="101">
        <f>VLOOKUP($B33,[1]XinMoi!$B:$Q,E$9,0)</f>
        <v>85</v>
      </c>
      <c r="F33" s="102">
        <f>VLOOKUP($B33,[1]XinMoi!$B:$Q,F$9,0)</f>
        <v>42915</v>
      </c>
      <c r="G33" s="100">
        <f>VLOOKUP($B33,[1]XinMoi!$B:$Q,G$9,0)</f>
        <v>3</v>
      </c>
      <c r="H33" s="100">
        <f>VLOOKUP($B33,[1]XinMoi!$B:$Q,H$9,0)</f>
        <v>3</v>
      </c>
      <c r="I33" s="157">
        <f>VLOOKUP($B33,[1]XinMoi!$B:$Q,I$9,0)</f>
        <v>2129.3333333333335</v>
      </c>
      <c r="J33" s="158">
        <f t="shared" si="0"/>
        <v>6388</v>
      </c>
      <c r="K33" s="159"/>
      <c r="L33" s="148">
        <f t="shared" si="1"/>
        <v>1</v>
      </c>
    </row>
    <row r="34" spans="1:12" s="148" customFormat="1" ht="21">
      <c r="A34" s="147" t="str">
        <f>[1]XinMoi!A39</f>
        <v>0</v>
      </c>
      <c r="B34" s="156">
        <v>25</v>
      </c>
      <c r="C34" s="99">
        <f>VLOOKUP($B34,[1]XinMoi!$B:$Q,C$9,0)</f>
        <v>0</v>
      </c>
      <c r="D34" s="100">
        <f>VLOOKUP($B34,[1]XinMoi!$B:$Q,D$9,0)</f>
        <v>0</v>
      </c>
      <c r="E34" s="101">
        <f>VLOOKUP($B34,[1]XinMoi!$B:$Q,E$9,0)</f>
        <v>0</v>
      </c>
      <c r="F34" s="102">
        <f>VLOOKUP($B34,[1]XinMoi!$B:$Q,F$9,0)</f>
        <v>0</v>
      </c>
      <c r="G34" s="100">
        <f>VLOOKUP($B34,[1]XinMoi!$B:$Q,G$9,0)</f>
        <v>0</v>
      </c>
      <c r="H34" s="100">
        <f>VLOOKUP($B34,[1]XinMoi!$B:$Q,H$9,0)</f>
        <v>0</v>
      </c>
      <c r="I34" s="157">
        <f>VLOOKUP($B34,[1]XinMoi!$B:$Q,I$9,0)</f>
        <v>0</v>
      </c>
      <c r="J34" s="158">
        <f t="shared" si="0"/>
        <v>0</v>
      </c>
      <c r="K34" s="159"/>
      <c r="L34" s="148">
        <f t="shared" si="1"/>
        <v>0</v>
      </c>
    </row>
    <row r="35" spans="1:12" s="148" customFormat="1" ht="21">
      <c r="A35" s="147" t="str">
        <f>[1]XinMoi!A40</f>
        <v>0</v>
      </c>
      <c r="B35" s="156">
        <v>26</v>
      </c>
      <c r="C35" s="99">
        <f>VLOOKUP($B35,[1]XinMoi!$B:$Q,C$9,0)</f>
        <v>0</v>
      </c>
      <c r="D35" s="100">
        <f>VLOOKUP($B35,[1]XinMoi!$B:$Q,D$9,0)</f>
        <v>0</v>
      </c>
      <c r="E35" s="101">
        <f>VLOOKUP($B35,[1]XinMoi!$B:$Q,E$9,0)</f>
        <v>0</v>
      </c>
      <c r="F35" s="102">
        <f>VLOOKUP($B35,[1]XinMoi!$B:$Q,F$9,0)</f>
        <v>0</v>
      </c>
      <c r="G35" s="100">
        <f>VLOOKUP($B35,[1]XinMoi!$B:$Q,G$9,0)</f>
        <v>0</v>
      </c>
      <c r="H35" s="100">
        <f>VLOOKUP($B35,[1]XinMoi!$B:$Q,H$9,0)</f>
        <v>0</v>
      </c>
      <c r="I35" s="157">
        <f>VLOOKUP($B35,[1]XinMoi!$B:$Q,I$9,0)</f>
        <v>0</v>
      </c>
      <c r="J35" s="158">
        <f t="shared" si="0"/>
        <v>0</v>
      </c>
      <c r="K35" s="159"/>
      <c r="L35" s="148">
        <f t="shared" si="1"/>
        <v>0</v>
      </c>
    </row>
    <row r="36" spans="1:12" s="148" customFormat="1" ht="21">
      <c r="A36" s="147" t="str">
        <f>[1]XinMoi!A41</f>
        <v>0</v>
      </c>
      <c r="B36" s="156">
        <v>27</v>
      </c>
      <c r="C36" s="99">
        <f>VLOOKUP($B36,[1]XinMoi!$B:$Q,C$9,0)</f>
        <v>0</v>
      </c>
      <c r="D36" s="100">
        <f>VLOOKUP($B36,[1]XinMoi!$B:$Q,D$9,0)</f>
        <v>0</v>
      </c>
      <c r="E36" s="101">
        <f>VLOOKUP($B36,[1]XinMoi!$B:$Q,E$9,0)</f>
        <v>0</v>
      </c>
      <c r="F36" s="102">
        <f>VLOOKUP($B36,[1]XinMoi!$B:$Q,F$9,0)</f>
        <v>0</v>
      </c>
      <c r="G36" s="100">
        <f>VLOOKUP($B36,[1]XinMoi!$B:$Q,G$9,0)</f>
        <v>0</v>
      </c>
      <c r="H36" s="100">
        <f>VLOOKUP($B36,[1]XinMoi!$B:$Q,H$9,0)</f>
        <v>0</v>
      </c>
      <c r="I36" s="157">
        <f>VLOOKUP($B36,[1]XinMoi!$B:$Q,I$9,0)</f>
        <v>0</v>
      </c>
      <c r="J36" s="158">
        <f t="shared" si="0"/>
        <v>0</v>
      </c>
      <c r="K36" s="159"/>
      <c r="L36" s="148">
        <f t="shared" si="1"/>
        <v>0</v>
      </c>
    </row>
    <row r="37" spans="1:12" s="148" customFormat="1" ht="21">
      <c r="A37" s="147" t="str">
        <f>[1]XinMoi!A43</f>
        <v>0</v>
      </c>
      <c r="B37" s="156">
        <v>28</v>
      </c>
      <c r="C37" s="99">
        <f>VLOOKUP($B37,[1]XinMoi!$B:$Q,C$9,0)</f>
        <v>0</v>
      </c>
      <c r="D37" s="100">
        <f>VLOOKUP($B37,[1]XinMoi!$B:$Q,D$9,0)</f>
        <v>0</v>
      </c>
      <c r="E37" s="101">
        <f>VLOOKUP($B37,[1]XinMoi!$B:$Q,E$9,0)</f>
        <v>0</v>
      </c>
      <c r="F37" s="102">
        <f>VLOOKUP($B37,[1]XinMoi!$B:$Q,F$9,0)</f>
        <v>0</v>
      </c>
      <c r="G37" s="100">
        <f>VLOOKUP($B37,[1]XinMoi!$B:$Q,G$9,0)</f>
        <v>0</v>
      </c>
      <c r="H37" s="100">
        <f>VLOOKUP($B37,[1]XinMoi!$B:$Q,H$9,0)</f>
        <v>0</v>
      </c>
      <c r="I37" s="157">
        <f>VLOOKUP($B37,[1]XinMoi!$B:$Q,I$9,0)</f>
        <v>0</v>
      </c>
      <c r="J37" s="158">
        <f t="shared" si="0"/>
        <v>0</v>
      </c>
      <c r="K37" s="159"/>
      <c r="L37" s="148">
        <f t="shared" si="1"/>
        <v>0</v>
      </c>
    </row>
    <row r="38" spans="1:12" s="148" customFormat="1" ht="21">
      <c r="A38" s="147" t="str">
        <f>[1]XinMoi!A45</f>
        <v>0</v>
      </c>
      <c r="B38" s="156">
        <v>29</v>
      </c>
      <c r="C38" s="99">
        <f>VLOOKUP($B38,[1]XinMoi!$B:$Q,C$9,0)</f>
        <v>0</v>
      </c>
      <c r="D38" s="100">
        <f>VLOOKUP($B38,[1]XinMoi!$B:$Q,D$9,0)</f>
        <v>0</v>
      </c>
      <c r="E38" s="101">
        <f>VLOOKUP($B38,[1]XinMoi!$B:$Q,E$9,0)</f>
        <v>0</v>
      </c>
      <c r="F38" s="102">
        <f>VLOOKUP($B38,[1]XinMoi!$B:$Q,F$9,0)</f>
        <v>0</v>
      </c>
      <c r="G38" s="100">
        <f>VLOOKUP($B38,[1]XinMoi!$B:$Q,G$9,0)</f>
        <v>0</v>
      </c>
      <c r="H38" s="100">
        <f>VLOOKUP($B38,[1]XinMoi!$B:$Q,H$9,0)</f>
        <v>0</v>
      </c>
      <c r="I38" s="157">
        <f>VLOOKUP($B38,[1]XinMoi!$B:$Q,I$9,0)</f>
        <v>0</v>
      </c>
      <c r="J38" s="158">
        <f t="shared" si="0"/>
        <v>0</v>
      </c>
      <c r="K38" s="159"/>
      <c r="L38" s="148">
        <f t="shared" si="1"/>
        <v>0</v>
      </c>
    </row>
    <row r="39" spans="1:12" s="148" customFormat="1" ht="21">
      <c r="A39" s="147" t="str">
        <f>[1]XinMoi!A47</f>
        <v>0</v>
      </c>
      <c r="B39" s="156">
        <v>30</v>
      </c>
      <c r="C39" s="99">
        <f>VLOOKUP($B39,[1]XinMoi!$B:$Q,C$9,0)</f>
        <v>0</v>
      </c>
      <c r="D39" s="100">
        <f>VLOOKUP($B39,[1]XinMoi!$B:$Q,D$9,0)</f>
        <v>0</v>
      </c>
      <c r="E39" s="101">
        <f>VLOOKUP($B39,[1]XinMoi!$B:$Q,E$9,0)</f>
        <v>0</v>
      </c>
      <c r="F39" s="102">
        <f>VLOOKUP($B39,[1]XinMoi!$B:$Q,F$9,0)</f>
        <v>0</v>
      </c>
      <c r="G39" s="100">
        <f>VLOOKUP($B39,[1]XinMoi!$B:$Q,G$9,0)</f>
        <v>0</v>
      </c>
      <c r="H39" s="100">
        <f>VLOOKUP($B39,[1]XinMoi!$B:$Q,H$9,0)</f>
        <v>0</v>
      </c>
      <c r="I39" s="157">
        <f>VLOOKUP($B39,[1]XinMoi!$B:$Q,I$9,0)</f>
        <v>0</v>
      </c>
      <c r="J39" s="158">
        <f t="shared" si="0"/>
        <v>0</v>
      </c>
      <c r="K39" s="159"/>
      <c r="L39" s="148">
        <f t="shared" si="1"/>
        <v>0</v>
      </c>
    </row>
    <row r="40" spans="1:12" s="148" customFormat="1" ht="21">
      <c r="A40" s="147" t="str">
        <f>[1]XinMoi!A48</f>
        <v>0</v>
      </c>
      <c r="B40" s="156">
        <v>31</v>
      </c>
      <c r="C40" s="99">
        <f>VLOOKUP($B40,[1]XinMoi!$B:$Q,C$9,0)</f>
        <v>0</v>
      </c>
      <c r="D40" s="100">
        <f>VLOOKUP($B40,[1]XinMoi!$B:$Q,D$9,0)</f>
        <v>0</v>
      </c>
      <c r="E40" s="101">
        <f>VLOOKUP($B40,[1]XinMoi!$B:$Q,E$9,0)</f>
        <v>0</v>
      </c>
      <c r="F40" s="102">
        <f>VLOOKUP($B40,[1]XinMoi!$B:$Q,F$9,0)</f>
        <v>0</v>
      </c>
      <c r="G40" s="100">
        <f>VLOOKUP($B40,[1]XinMoi!$B:$Q,G$9,0)</f>
        <v>0</v>
      </c>
      <c r="H40" s="100">
        <f>VLOOKUP($B40,[1]XinMoi!$B:$Q,H$9,0)</f>
        <v>0</v>
      </c>
      <c r="I40" s="157">
        <f>VLOOKUP($B40,[1]XinMoi!$B:$Q,I$9,0)</f>
        <v>0</v>
      </c>
      <c r="J40" s="158">
        <f t="shared" si="0"/>
        <v>0</v>
      </c>
      <c r="K40" s="159"/>
      <c r="L40" s="148">
        <f t="shared" si="1"/>
        <v>0</v>
      </c>
    </row>
    <row r="41" spans="1:12" s="148" customFormat="1" ht="21">
      <c r="A41" s="147" t="str">
        <f>[1]XinMoi!A52</f>
        <v>0</v>
      </c>
      <c r="B41" s="156">
        <v>32</v>
      </c>
      <c r="C41" s="99">
        <f>VLOOKUP($B41,[1]XinMoi!$B:$Q,C$9,0)</f>
        <v>0</v>
      </c>
      <c r="D41" s="100">
        <f>VLOOKUP($B41,[1]XinMoi!$B:$Q,D$9,0)</f>
        <v>0</v>
      </c>
      <c r="E41" s="101">
        <f>VLOOKUP($B41,[1]XinMoi!$B:$Q,E$9,0)</f>
        <v>0</v>
      </c>
      <c r="F41" s="102">
        <f>VLOOKUP($B41,[1]XinMoi!$B:$Q,F$9,0)</f>
        <v>0</v>
      </c>
      <c r="G41" s="100">
        <f>VLOOKUP($B41,[1]XinMoi!$B:$Q,G$9,0)</f>
        <v>0</v>
      </c>
      <c r="H41" s="100">
        <f>VLOOKUP($B41,[1]XinMoi!$B:$Q,H$9,0)</f>
        <v>0</v>
      </c>
      <c r="I41" s="157">
        <f>VLOOKUP($B41,[1]XinMoi!$B:$Q,I$9,0)</f>
        <v>0</v>
      </c>
      <c r="J41" s="158">
        <f t="shared" si="0"/>
        <v>0</v>
      </c>
      <c r="K41" s="159"/>
      <c r="L41" s="148">
        <f t="shared" si="1"/>
        <v>0</v>
      </c>
    </row>
    <row r="42" spans="1:12" s="148" customFormat="1" ht="21">
      <c r="A42" s="147" t="str">
        <f>[1]XinMoi!A53</f>
        <v>0</v>
      </c>
      <c r="B42" s="156">
        <v>33</v>
      </c>
      <c r="C42" s="99">
        <f>VLOOKUP($B42,[1]XinMoi!$B:$Q,C$9,0)</f>
        <v>0</v>
      </c>
      <c r="D42" s="100">
        <f>VLOOKUP($B42,[1]XinMoi!$B:$Q,D$9,0)</f>
        <v>0</v>
      </c>
      <c r="E42" s="101">
        <f>VLOOKUP($B42,[1]XinMoi!$B:$Q,E$9,0)</f>
        <v>0</v>
      </c>
      <c r="F42" s="102">
        <f>VLOOKUP($B42,[1]XinMoi!$B:$Q,F$9,0)</f>
        <v>0</v>
      </c>
      <c r="G42" s="100">
        <f>VLOOKUP($B42,[1]XinMoi!$B:$Q,G$9,0)</f>
        <v>0</v>
      </c>
      <c r="H42" s="100">
        <f>VLOOKUP($B42,[1]XinMoi!$B:$Q,H$9,0)</f>
        <v>0</v>
      </c>
      <c r="I42" s="157">
        <f>VLOOKUP($B42,[1]XinMoi!$B:$Q,I$9,0)</f>
        <v>0</v>
      </c>
      <c r="J42" s="158">
        <f t="shared" si="0"/>
        <v>0</v>
      </c>
      <c r="K42" s="159"/>
      <c r="L42" s="148">
        <f t="shared" si="1"/>
        <v>0</v>
      </c>
    </row>
    <row r="43" spans="1:12" s="148" customFormat="1" ht="21">
      <c r="A43" s="147" t="str">
        <f>[1]XinMoi!A54</f>
        <v>0</v>
      </c>
      <c r="B43" s="156">
        <v>34</v>
      </c>
      <c r="C43" s="99">
        <f>VLOOKUP($B43,[1]XinMoi!$B:$Q,C$9,0)</f>
        <v>0</v>
      </c>
      <c r="D43" s="100">
        <f>VLOOKUP($B43,[1]XinMoi!$B:$Q,D$9,0)</f>
        <v>0</v>
      </c>
      <c r="E43" s="101">
        <f>VLOOKUP($B43,[1]XinMoi!$B:$Q,E$9,0)</f>
        <v>0</v>
      </c>
      <c r="F43" s="102">
        <f>VLOOKUP($B43,[1]XinMoi!$B:$Q,F$9,0)</f>
        <v>0</v>
      </c>
      <c r="G43" s="100">
        <f>VLOOKUP($B43,[1]XinMoi!$B:$Q,G$9,0)</f>
        <v>0</v>
      </c>
      <c r="H43" s="100">
        <f>VLOOKUP($B43,[1]XinMoi!$B:$Q,H$9,0)</f>
        <v>0</v>
      </c>
      <c r="I43" s="157">
        <f>VLOOKUP($B43,[1]XinMoi!$B:$Q,I$9,0)</f>
        <v>0</v>
      </c>
      <c r="J43" s="158">
        <f t="shared" si="0"/>
        <v>0</v>
      </c>
      <c r="K43" s="159"/>
      <c r="L43" s="148">
        <f t="shared" si="1"/>
        <v>0</v>
      </c>
    </row>
    <row r="44" spans="1:12" s="148" customFormat="1" ht="21">
      <c r="A44" s="147" t="str">
        <f>[1]XinMoi!A55</f>
        <v>0</v>
      </c>
      <c r="B44" s="156">
        <v>35</v>
      </c>
      <c r="C44" s="99">
        <f>VLOOKUP($B44,[1]XinMoi!$B:$Q,C$9,0)</f>
        <v>0</v>
      </c>
      <c r="D44" s="100">
        <f>VLOOKUP($B44,[1]XinMoi!$B:$Q,D$9,0)</f>
        <v>0</v>
      </c>
      <c r="E44" s="101">
        <f>VLOOKUP($B44,[1]XinMoi!$B:$Q,E$9,0)</f>
        <v>0</v>
      </c>
      <c r="F44" s="102">
        <f>VLOOKUP($B44,[1]XinMoi!$B:$Q,F$9,0)</f>
        <v>0</v>
      </c>
      <c r="G44" s="100">
        <f>VLOOKUP($B44,[1]XinMoi!$B:$Q,G$9,0)</f>
        <v>0</v>
      </c>
      <c r="H44" s="100">
        <f>VLOOKUP($B44,[1]XinMoi!$B:$Q,H$9,0)</f>
        <v>0</v>
      </c>
      <c r="I44" s="157">
        <f>VLOOKUP($B44,[1]XinMoi!$B:$Q,I$9,0)</f>
        <v>0</v>
      </c>
      <c r="J44" s="158">
        <f t="shared" si="0"/>
        <v>0</v>
      </c>
      <c r="K44" s="159"/>
      <c r="L44" s="148">
        <f t="shared" si="1"/>
        <v>0</v>
      </c>
    </row>
    <row r="45" spans="1:12" s="148" customFormat="1" ht="21">
      <c r="A45" s="147" t="str">
        <f>[1]XinMoi!A56</f>
        <v>0</v>
      </c>
      <c r="B45" s="156">
        <v>36</v>
      </c>
      <c r="C45" s="99">
        <f>VLOOKUP($B45,[1]XinMoi!$B:$Q,C$9,0)</f>
        <v>0</v>
      </c>
      <c r="D45" s="100">
        <f>VLOOKUP($B45,[1]XinMoi!$B:$Q,D$9,0)</f>
        <v>0</v>
      </c>
      <c r="E45" s="101">
        <f>VLOOKUP($B45,[1]XinMoi!$B:$Q,E$9,0)</f>
        <v>0</v>
      </c>
      <c r="F45" s="102">
        <f>VLOOKUP($B45,[1]XinMoi!$B:$Q,F$9,0)</f>
        <v>0</v>
      </c>
      <c r="G45" s="100">
        <f>VLOOKUP($B45,[1]XinMoi!$B:$Q,G$9,0)</f>
        <v>0</v>
      </c>
      <c r="H45" s="100">
        <f>VLOOKUP($B45,[1]XinMoi!$B:$Q,H$9,0)</f>
        <v>0</v>
      </c>
      <c r="I45" s="157">
        <f>VLOOKUP($B45,[1]XinMoi!$B:$Q,I$9,0)</f>
        <v>0</v>
      </c>
      <c r="J45" s="158">
        <f t="shared" si="0"/>
        <v>0</v>
      </c>
      <c r="K45" s="159"/>
      <c r="L45" s="148">
        <f t="shared" si="1"/>
        <v>0</v>
      </c>
    </row>
    <row r="46" spans="1:12" s="148" customFormat="1" ht="21">
      <c r="A46" s="147" t="str">
        <f>[1]XinMoi!A57</f>
        <v>0</v>
      </c>
      <c r="B46" s="156">
        <v>37</v>
      </c>
      <c r="C46" s="99">
        <f>VLOOKUP($B46,[1]XinMoi!$B:$Q,C$9,0)</f>
        <v>0</v>
      </c>
      <c r="D46" s="100">
        <f>VLOOKUP($B46,[1]XinMoi!$B:$Q,D$9,0)</f>
        <v>0</v>
      </c>
      <c r="E46" s="101">
        <f>VLOOKUP($B46,[1]XinMoi!$B:$Q,E$9,0)</f>
        <v>0</v>
      </c>
      <c r="F46" s="102">
        <f>VLOOKUP($B46,[1]XinMoi!$B:$Q,F$9,0)</f>
        <v>0</v>
      </c>
      <c r="G46" s="100">
        <f>VLOOKUP($B46,[1]XinMoi!$B:$Q,G$9,0)</f>
        <v>0</v>
      </c>
      <c r="H46" s="100">
        <f>VLOOKUP($B46,[1]XinMoi!$B:$Q,H$9,0)</f>
        <v>0</v>
      </c>
      <c r="I46" s="157">
        <f>VLOOKUP($B46,[1]XinMoi!$B:$Q,I$9,0)</f>
        <v>0</v>
      </c>
      <c r="J46" s="158">
        <f t="shared" si="0"/>
        <v>0</v>
      </c>
      <c r="K46" s="159"/>
      <c r="L46" s="148">
        <f t="shared" si="1"/>
        <v>0</v>
      </c>
    </row>
    <row r="47" spans="1:12" s="148" customFormat="1" ht="21">
      <c r="A47" s="147" t="str">
        <f>[1]XinMoi!A58</f>
        <v>0</v>
      </c>
      <c r="B47" s="156">
        <v>38</v>
      </c>
      <c r="C47" s="99">
        <f>VLOOKUP($B47,[1]XinMoi!$B:$Q,C$9,0)</f>
        <v>0</v>
      </c>
      <c r="D47" s="100">
        <f>VLOOKUP($B47,[1]XinMoi!$B:$Q,D$9,0)</f>
        <v>0</v>
      </c>
      <c r="E47" s="101">
        <f>VLOOKUP($B47,[1]XinMoi!$B:$Q,E$9,0)</f>
        <v>0</v>
      </c>
      <c r="F47" s="102">
        <f>VLOOKUP($B47,[1]XinMoi!$B:$Q,F$9,0)</f>
        <v>0</v>
      </c>
      <c r="G47" s="100">
        <f>VLOOKUP($B47,[1]XinMoi!$B:$Q,G$9,0)</f>
        <v>0</v>
      </c>
      <c r="H47" s="100">
        <f>VLOOKUP($B47,[1]XinMoi!$B:$Q,H$9,0)</f>
        <v>0</v>
      </c>
      <c r="I47" s="157">
        <f>VLOOKUP($B47,[1]XinMoi!$B:$Q,I$9,0)</f>
        <v>0</v>
      </c>
      <c r="J47" s="158">
        <f t="shared" si="0"/>
        <v>0</v>
      </c>
      <c r="K47" s="159"/>
      <c r="L47" s="148">
        <f t="shared" si="1"/>
        <v>0</v>
      </c>
    </row>
    <row r="48" spans="1:12" s="148" customFormat="1" ht="21">
      <c r="A48" s="147" t="str">
        <f>[1]XinMoi!A59</f>
        <v>0</v>
      </c>
      <c r="B48" s="156">
        <v>39</v>
      </c>
      <c r="C48" s="99">
        <f>VLOOKUP($B48,[1]XinMoi!$B:$Q,C$9,0)</f>
        <v>0</v>
      </c>
      <c r="D48" s="100">
        <f>VLOOKUP($B48,[1]XinMoi!$B:$Q,D$9,0)</f>
        <v>0</v>
      </c>
      <c r="E48" s="101">
        <f>VLOOKUP($B48,[1]XinMoi!$B:$Q,E$9,0)</f>
        <v>0</v>
      </c>
      <c r="F48" s="102">
        <f>VLOOKUP($B48,[1]XinMoi!$B:$Q,F$9,0)</f>
        <v>0</v>
      </c>
      <c r="G48" s="100">
        <f>VLOOKUP($B48,[1]XinMoi!$B:$Q,G$9,0)</f>
        <v>0</v>
      </c>
      <c r="H48" s="100">
        <f>VLOOKUP($B48,[1]XinMoi!$B:$Q,H$9,0)</f>
        <v>0</v>
      </c>
      <c r="I48" s="157">
        <f>VLOOKUP($B48,[1]XinMoi!$B:$Q,I$9,0)</f>
        <v>0</v>
      </c>
      <c r="J48" s="158">
        <f t="shared" si="0"/>
        <v>0</v>
      </c>
      <c r="K48" s="159"/>
      <c r="L48" s="148">
        <f t="shared" si="1"/>
        <v>0</v>
      </c>
    </row>
    <row r="49" spans="1:12" s="148" customFormat="1" ht="21">
      <c r="A49" s="147" t="str">
        <f>[1]XinMoi!A60</f>
        <v>0</v>
      </c>
      <c r="B49" s="156">
        <v>40</v>
      </c>
      <c r="C49" s="99">
        <f>VLOOKUP($B49,[1]XinMoi!$B:$Q,C$9,0)</f>
        <v>0</v>
      </c>
      <c r="D49" s="100">
        <f>VLOOKUP($B49,[1]XinMoi!$B:$Q,D$9,0)</f>
        <v>0</v>
      </c>
      <c r="E49" s="101">
        <f>VLOOKUP($B49,[1]XinMoi!$B:$Q,E$9,0)</f>
        <v>0</v>
      </c>
      <c r="F49" s="102">
        <f>VLOOKUP($B49,[1]XinMoi!$B:$Q,F$9,0)</f>
        <v>0</v>
      </c>
      <c r="G49" s="100">
        <f>VLOOKUP($B49,[1]XinMoi!$B:$Q,G$9,0)</f>
        <v>0</v>
      </c>
      <c r="H49" s="100">
        <f>VLOOKUP($B49,[1]XinMoi!$B:$Q,H$9,0)</f>
        <v>0</v>
      </c>
      <c r="I49" s="157">
        <f>VLOOKUP($B49,[1]XinMoi!$B:$Q,I$9,0)</f>
        <v>0</v>
      </c>
      <c r="J49" s="158">
        <f t="shared" si="0"/>
        <v>0</v>
      </c>
      <c r="K49" s="159"/>
      <c r="L49" s="148">
        <f t="shared" si="1"/>
        <v>0</v>
      </c>
    </row>
    <row r="50" spans="1:12" s="148" customFormat="1" ht="21">
      <c r="A50" s="147" t="str">
        <f>[1]XinMoi!A61</f>
        <v>0</v>
      </c>
      <c r="B50" s="156">
        <v>41</v>
      </c>
      <c r="C50" s="99">
        <f>VLOOKUP($B50,[1]XinMoi!$B:$Q,C$9,0)</f>
        <v>0</v>
      </c>
      <c r="D50" s="100">
        <f>VLOOKUP($B50,[1]XinMoi!$B:$Q,D$9,0)</f>
        <v>0</v>
      </c>
      <c r="E50" s="101">
        <f>VLOOKUP($B50,[1]XinMoi!$B:$Q,E$9,0)</f>
        <v>0</v>
      </c>
      <c r="F50" s="102">
        <f>VLOOKUP($B50,[1]XinMoi!$B:$Q,F$9,0)</f>
        <v>0</v>
      </c>
      <c r="G50" s="100">
        <f>VLOOKUP($B50,[1]XinMoi!$B:$Q,G$9,0)</f>
        <v>0</v>
      </c>
      <c r="H50" s="100">
        <f>VLOOKUP($B50,[1]XinMoi!$B:$Q,H$9,0)</f>
        <v>0</v>
      </c>
      <c r="I50" s="157">
        <f>VLOOKUP($B50,[1]XinMoi!$B:$Q,I$9,0)</f>
        <v>0</v>
      </c>
      <c r="J50" s="158">
        <f t="shared" si="0"/>
        <v>0</v>
      </c>
      <c r="K50" s="159"/>
      <c r="L50" s="148">
        <f t="shared" si="1"/>
        <v>0</v>
      </c>
    </row>
    <row r="51" spans="1:12" s="148" customFormat="1" ht="21">
      <c r="A51" s="147" t="str">
        <f>[1]XinMoi!A62</f>
        <v>0</v>
      </c>
      <c r="B51" s="156">
        <v>42</v>
      </c>
      <c r="C51" s="99">
        <f>VLOOKUP($B51,[1]XinMoi!$B:$Q,C$9,0)</f>
        <v>0</v>
      </c>
      <c r="D51" s="100">
        <f>VLOOKUP($B51,[1]XinMoi!$B:$Q,D$9,0)</f>
        <v>0</v>
      </c>
      <c r="E51" s="101">
        <f>VLOOKUP($B51,[1]XinMoi!$B:$Q,E$9,0)</f>
        <v>0</v>
      </c>
      <c r="F51" s="102">
        <f>VLOOKUP($B51,[1]XinMoi!$B:$Q,F$9,0)</f>
        <v>0</v>
      </c>
      <c r="G51" s="100">
        <f>VLOOKUP($B51,[1]XinMoi!$B:$Q,G$9,0)</f>
        <v>0</v>
      </c>
      <c r="H51" s="100">
        <f>VLOOKUP($B51,[1]XinMoi!$B:$Q,H$9,0)</f>
        <v>0</v>
      </c>
      <c r="I51" s="157">
        <f>VLOOKUP($B51,[1]XinMoi!$B:$Q,I$9,0)</f>
        <v>0</v>
      </c>
      <c r="J51" s="158">
        <f t="shared" si="0"/>
        <v>0</v>
      </c>
      <c r="K51" s="159"/>
      <c r="L51" s="148">
        <f t="shared" si="1"/>
        <v>0</v>
      </c>
    </row>
    <row r="52" spans="1:12" s="160" customFormat="1" ht="22.2">
      <c r="A52" s="147" t="str">
        <f>[1]XinMoi!A63</f>
        <v>0</v>
      </c>
      <c r="B52" s="156">
        <v>43</v>
      </c>
      <c r="C52" s="99">
        <f>VLOOKUP($B52,[1]XinMoi!$B:$Q,C$9,0)</f>
        <v>0</v>
      </c>
      <c r="D52" s="100">
        <f>VLOOKUP($B52,[1]XinMoi!$B:$Q,D$9,0)</f>
        <v>0</v>
      </c>
      <c r="E52" s="101">
        <f>VLOOKUP($B52,[1]XinMoi!$B:$Q,E$9,0)</f>
        <v>0</v>
      </c>
      <c r="F52" s="102">
        <f>VLOOKUP($B52,[1]XinMoi!$B:$Q,F$9,0)</f>
        <v>0</v>
      </c>
      <c r="G52" s="100">
        <f>VLOOKUP($B52,[1]XinMoi!$B:$Q,G$9,0)</f>
        <v>0</v>
      </c>
      <c r="H52" s="100">
        <f>VLOOKUP($B52,[1]XinMoi!$B:$Q,H$9,0)</f>
        <v>0</v>
      </c>
      <c r="I52" s="157">
        <f>VLOOKUP($B52,[1]XinMoi!$B:$Q,I$9,0)</f>
        <v>0</v>
      </c>
      <c r="J52" s="158">
        <f t="shared" si="0"/>
        <v>0</v>
      </c>
      <c r="K52" s="159"/>
      <c r="L52" s="148">
        <f t="shared" si="1"/>
        <v>0</v>
      </c>
    </row>
    <row r="53" spans="1:12" s="160" customFormat="1" ht="22.2">
      <c r="A53" s="147" t="str">
        <f>[1]XinMoi!A64</f>
        <v>0</v>
      </c>
      <c r="B53" s="156">
        <v>44</v>
      </c>
      <c r="C53" s="99">
        <f>VLOOKUP($B53,[1]XinMoi!$B:$Q,C$9,0)</f>
        <v>0</v>
      </c>
      <c r="D53" s="100">
        <f>VLOOKUP($B53,[1]XinMoi!$B:$Q,D$9,0)</f>
        <v>0</v>
      </c>
      <c r="E53" s="101">
        <f>VLOOKUP($B53,[1]XinMoi!$B:$Q,E$9,0)</f>
        <v>0</v>
      </c>
      <c r="F53" s="102">
        <f>VLOOKUP($B53,[1]XinMoi!$B:$Q,F$9,0)</f>
        <v>0</v>
      </c>
      <c r="G53" s="100">
        <f>VLOOKUP($B53,[1]XinMoi!$B:$Q,G$9,0)</f>
        <v>0</v>
      </c>
      <c r="H53" s="100">
        <f>VLOOKUP($B53,[1]XinMoi!$B:$Q,H$9,0)</f>
        <v>0</v>
      </c>
      <c r="I53" s="157">
        <f>VLOOKUP($B53,[1]XinMoi!$B:$Q,I$9,0)</f>
        <v>0</v>
      </c>
      <c r="J53" s="158">
        <f t="shared" si="0"/>
        <v>0</v>
      </c>
      <c r="K53" s="159"/>
      <c r="L53" s="148">
        <f t="shared" si="1"/>
        <v>0</v>
      </c>
    </row>
    <row r="54" spans="1:12" s="160" customFormat="1" ht="22.2">
      <c r="A54" s="147" t="str">
        <f>[1]XinMoi!A65</f>
        <v>0</v>
      </c>
      <c r="B54" s="156">
        <v>45</v>
      </c>
      <c r="C54" s="99">
        <f>VLOOKUP($B54,[1]XinMoi!$B:$Q,C$9,0)</f>
        <v>0</v>
      </c>
      <c r="D54" s="100">
        <f>VLOOKUP($B54,[1]XinMoi!$B:$Q,D$9,0)</f>
        <v>0</v>
      </c>
      <c r="E54" s="101">
        <f>VLOOKUP($B54,[1]XinMoi!$B:$Q,E$9,0)</f>
        <v>0</v>
      </c>
      <c r="F54" s="102">
        <f>VLOOKUP($B54,[1]XinMoi!$B:$Q,F$9,0)</f>
        <v>0</v>
      </c>
      <c r="G54" s="100">
        <f>VLOOKUP($B54,[1]XinMoi!$B:$Q,G$9,0)</f>
        <v>0</v>
      </c>
      <c r="H54" s="100">
        <f>VLOOKUP($B54,[1]XinMoi!$B:$Q,H$9,0)</f>
        <v>0</v>
      </c>
      <c r="I54" s="157">
        <f>VLOOKUP($B54,[1]XinMoi!$B:$Q,I$9,0)</f>
        <v>0</v>
      </c>
      <c r="J54" s="158">
        <f t="shared" si="0"/>
        <v>0</v>
      </c>
      <c r="K54" s="159"/>
      <c r="L54" s="148">
        <f t="shared" si="1"/>
        <v>0</v>
      </c>
    </row>
    <row r="55" spans="1:12" s="160" customFormat="1" ht="22.2">
      <c r="A55" s="147" t="str">
        <f>[1]XinMoi!A66</f>
        <v>0</v>
      </c>
      <c r="B55" s="156">
        <v>46</v>
      </c>
      <c r="C55" s="99">
        <f>VLOOKUP($B55,[1]XinMoi!$B:$Q,C$9,0)</f>
        <v>0</v>
      </c>
      <c r="D55" s="100">
        <f>VLOOKUP($B55,[1]XinMoi!$B:$Q,D$9,0)</f>
        <v>0</v>
      </c>
      <c r="E55" s="101">
        <f>VLOOKUP($B55,[1]XinMoi!$B:$Q,E$9,0)</f>
        <v>0</v>
      </c>
      <c r="F55" s="102">
        <f>VLOOKUP($B55,[1]XinMoi!$B:$Q,F$9,0)</f>
        <v>0</v>
      </c>
      <c r="G55" s="100">
        <f>VLOOKUP($B55,[1]XinMoi!$B:$Q,G$9,0)</f>
        <v>0</v>
      </c>
      <c r="H55" s="100">
        <f>VLOOKUP($B55,[1]XinMoi!$B:$Q,H$9,0)</f>
        <v>0</v>
      </c>
      <c r="I55" s="157">
        <f>VLOOKUP($B55,[1]XinMoi!$B:$Q,I$9,0)</f>
        <v>0</v>
      </c>
      <c r="J55" s="158">
        <f t="shared" si="0"/>
        <v>0</v>
      </c>
      <c r="K55" s="159"/>
      <c r="L55" s="148">
        <f t="shared" si="1"/>
        <v>0</v>
      </c>
    </row>
    <row r="56" spans="1:12" s="160" customFormat="1" ht="22.2">
      <c r="A56" s="147" t="str">
        <f>[1]XinMoi!A67</f>
        <v>0</v>
      </c>
      <c r="B56" s="156">
        <v>47</v>
      </c>
      <c r="C56" s="99">
        <f>VLOOKUP($B56,[1]XinMoi!$B:$Q,C$9,0)</f>
        <v>0</v>
      </c>
      <c r="D56" s="100">
        <f>VLOOKUP($B56,[1]XinMoi!$B:$Q,D$9,0)</f>
        <v>0</v>
      </c>
      <c r="E56" s="101">
        <f>VLOOKUP($B56,[1]XinMoi!$B:$Q,E$9,0)</f>
        <v>0</v>
      </c>
      <c r="F56" s="102">
        <f>VLOOKUP($B56,[1]XinMoi!$B:$Q,F$9,0)</f>
        <v>0</v>
      </c>
      <c r="G56" s="100">
        <f>VLOOKUP($B56,[1]XinMoi!$B:$Q,G$9,0)</f>
        <v>0</v>
      </c>
      <c r="H56" s="100">
        <f>VLOOKUP($B56,[1]XinMoi!$B:$Q,H$9,0)</f>
        <v>0</v>
      </c>
      <c r="I56" s="157">
        <f>VLOOKUP($B56,[1]XinMoi!$B:$Q,I$9,0)</f>
        <v>0</v>
      </c>
      <c r="J56" s="158">
        <f t="shared" si="0"/>
        <v>0</v>
      </c>
      <c r="K56" s="159"/>
      <c r="L56" s="148">
        <f t="shared" si="1"/>
        <v>0</v>
      </c>
    </row>
    <row r="57" spans="1:12" s="160" customFormat="1" ht="22.2">
      <c r="A57" s="147" t="str">
        <f>[1]XinMoi!A68</f>
        <v>0</v>
      </c>
      <c r="B57" s="156">
        <v>48</v>
      </c>
      <c r="C57" s="99">
        <f>VLOOKUP($B57,[1]XinMoi!$B:$Q,C$9,0)</f>
        <v>0</v>
      </c>
      <c r="D57" s="100">
        <f>VLOOKUP($B57,[1]XinMoi!$B:$Q,D$9,0)</f>
        <v>0</v>
      </c>
      <c r="E57" s="101">
        <f>VLOOKUP($B57,[1]XinMoi!$B:$Q,E$9,0)</f>
        <v>0</v>
      </c>
      <c r="F57" s="102">
        <f>VLOOKUP($B57,[1]XinMoi!$B:$Q,F$9,0)</f>
        <v>0</v>
      </c>
      <c r="G57" s="100">
        <f>VLOOKUP($B57,[1]XinMoi!$B:$Q,G$9,0)</f>
        <v>0</v>
      </c>
      <c r="H57" s="100">
        <f>VLOOKUP($B57,[1]XinMoi!$B:$Q,H$9,0)</f>
        <v>0</v>
      </c>
      <c r="I57" s="157">
        <f>VLOOKUP($B57,[1]XinMoi!$B:$Q,I$9,0)</f>
        <v>0</v>
      </c>
      <c r="J57" s="158">
        <f t="shared" si="0"/>
        <v>0</v>
      </c>
      <c r="K57" s="159"/>
      <c r="L57" s="148">
        <f t="shared" si="1"/>
        <v>0</v>
      </c>
    </row>
    <row r="58" spans="1:12" s="160" customFormat="1" ht="22.2">
      <c r="A58" s="147" t="str">
        <f>[1]XinMoi!A69</f>
        <v>0</v>
      </c>
      <c r="B58" s="156">
        <v>49</v>
      </c>
      <c r="C58" s="99">
        <f>VLOOKUP($B58,[1]XinMoi!$B:$Q,C$9,0)</f>
        <v>0</v>
      </c>
      <c r="D58" s="100">
        <f>VLOOKUP($B58,[1]XinMoi!$B:$Q,D$9,0)</f>
        <v>0</v>
      </c>
      <c r="E58" s="101">
        <f>VLOOKUP($B58,[1]XinMoi!$B:$Q,E$9,0)</f>
        <v>0</v>
      </c>
      <c r="F58" s="102">
        <f>VLOOKUP($B58,[1]XinMoi!$B:$Q,F$9,0)</f>
        <v>0</v>
      </c>
      <c r="G58" s="100">
        <f>VLOOKUP($B58,[1]XinMoi!$B:$Q,G$9,0)</f>
        <v>0</v>
      </c>
      <c r="H58" s="100">
        <f>VLOOKUP($B58,[1]XinMoi!$B:$Q,H$9,0)</f>
        <v>0</v>
      </c>
      <c r="I58" s="157">
        <f>VLOOKUP($B58,[1]XinMoi!$B:$Q,I$9,0)</f>
        <v>0</v>
      </c>
      <c r="J58" s="158">
        <f t="shared" si="0"/>
        <v>0</v>
      </c>
      <c r="K58" s="159"/>
      <c r="L58" s="148">
        <f t="shared" si="1"/>
        <v>0</v>
      </c>
    </row>
    <row r="59" spans="1:12" s="160" customFormat="1" ht="22.2" hidden="1">
      <c r="A59" s="147" t="str">
        <f>[1]XinMoi!A70</f>
        <v>0</v>
      </c>
      <c r="B59" s="156">
        <v>50</v>
      </c>
      <c r="C59" s="99">
        <f>VLOOKUP($B59,[1]XinMoi!$B:$Q,C$9,0)</f>
        <v>0</v>
      </c>
      <c r="D59" s="100">
        <f>VLOOKUP($B59,[1]XinMoi!$B:$Q,D$9,0)</f>
        <v>0</v>
      </c>
      <c r="E59" s="101">
        <f>VLOOKUP($B59,[1]XinMoi!$B:$Q,E$9,0)</f>
        <v>0</v>
      </c>
      <c r="F59" s="102">
        <f>VLOOKUP($B59,[1]XinMoi!$B:$Q,F$9,0)</f>
        <v>0</v>
      </c>
      <c r="G59" s="100">
        <f>VLOOKUP($B59,[1]XinMoi!$B:$Q,G$9,0)</f>
        <v>0</v>
      </c>
      <c r="H59" s="100">
        <f>VLOOKUP($B59,[1]XinMoi!$B:$Q,H$9,0)</f>
        <v>0</v>
      </c>
      <c r="I59" s="157">
        <f>VLOOKUP($B59,[1]XinMoi!$B:$Q,I$9,0)</f>
        <v>0</v>
      </c>
      <c r="J59" s="158">
        <f t="shared" si="0"/>
        <v>0</v>
      </c>
      <c r="K59" s="159"/>
      <c r="L59" s="148">
        <f t="shared" si="1"/>
        <v>0</v>
      </c>
    </row>
    <row r="60" spans="1:12" s="160" customFormat="1" ht="22.2" hidden="1">
      <c r="A60" s="147" t="str">
        <f>[1]XinMoi!A71</f>
        <v>0</v>
      </c>
      <c r="B60" s="156">
        <v>51</v>
      </c>
      <c r="C60" s="99">
        <f>VLOOKUP($B60,[1]XinMoi!$B:$Q,C$9,0)</f>
        <v>0</v>
      </c>
      <c r="D60" s="100">
        <f>VLOOKUP($B60,[1]XinMoi!$B:$Q,D$9,0)</f>
        <v>0</v>
      </c>
      <c r="E60" s="101">
        <f>VLOOKUP($B60,[1]XinMoi!$B:$Q,E$9,0)</f>
        <v>0</v>
      </c>
      <c r="F60" s="102">
        <f>VLOOKUP($B60,[1]XinMoi!$B:$Q,F$9,0)</f>
        <v>0</v>
      </c>
      <c r="G60" s="100">
        <f>VLOOKUP($B60,[1]XinMoi!$B:$Q,G$9,0)</f>
        <v>0</v>
      </c>
      <c r="H60" s="100">
        <f>VLOOKUP($B60,[1]XinMoi!$B:$Q,H$9,0)</f>
        <v>0</v>
      </c>
      <c r="I60" s="157">
        <f>VLOOKUP($B60,[1]XinMoi!$B:$Q,I$9,0)</f>
        <v>0</v>
      </c>
      <c r="J60" s="158">
        <f t="shared" si="0"/>
        <v>0</v>
      </c>
      <c r="K60" s="159"/>
      <c r="L60" s="148">
        <f t="shared" si="1"/>
        <v>0</v>
      </c>
    </row>
    <row r="61" spans="1:12" s="160" customFormat="1" ht="22.2" hidden="1">
      <c r="A61" s="147" t="str">
        <f>[1]XinMoi!A72</f>
        <v>0</v>
      </c>
      <c r="B61" s="156">
        <v>52</v>
      </c>
      <c r="C61" s="99">
        <f>VLOOKUP($B61,[1]XinMoi!$B:$Q,C$9,0)</f>
        <v>0</v>
      </c>
      <c r="D61" s="100">
        <f>VLOOKUP($B61,[1]XinMoi!$B:$Q,D$9,0)</f>
        <v>0</v>
      </c>
      <c r="E61" s="101">
        <f>VLOOKUP($B61,[1]XinMoi!$B:$Q,E$9,0)</f>
        <v>0</v>
      </c>
      <c r="F61" s="102">
        <f>VLOOKUP($B61,[1]XinMoi!$B:$Q,F$9,0)</f>
        <v>0</v>
      </c>
      <c r="G61" s="100">
        <f>VLOOKUP($B61,[1]XinMoi!$B:$Q,G$9,0)</f>
        <v>0</v>
      </c>
      <c r="H61" s="100">
        <f>VLOOKUP($B61,[1]XinMoi!$B:$Q,H$9,0)</f>
        <v>0</v>
      </c>
      <c r="I61" s="157">
        <f>VLOOKUP($B61,[1]XinMoi!$B:$Q,I$9,0)</f>
        <v>0</v>
      </c>
      <c r="J61" s="158">
        <f t="shared" si="0"/>
        <v>0</v>
      </c>
      <c r="K61" s="159"/>
      <c r="L61" s="148">
        <f t="shared" si="1"/>
        <v>0</v>
      </c>
    </row>
    <row r="62" spans="1:12" s="160" customFormat="1" ht="22.2" hidden="1">
      <c r="A62" s="147" t="str">
        <f>[1]XinMoi!A73</f>
        <v>0</v>
      </c>
      <c r="B62" s="156">
        <v>53</v>
      </c>
      <c r="C62" s="99">
        <f>VLOOKUP($B62,[1]XinMoi!$B:$Q,C$9,0)</f>
        <v>0</v>
      </c>
      <c r="D62" s="100">
        <f>VLOOKUP($B62,[1]XinMoi!$B:$Q,D$9,0)</f>
        <v>0</v>
      </c>
      <c r="E62" s="101">
        <f>VLOOKUP($B62,[1]XinMoi!$B:$Q,E$9,0)</f>
        <v>0</v>
      </c>
      <c r="F62" s="102">
        <f>VLOOKUP($B62,[1]XinMoi!$B:$Q,F$9,0)</f>
        <v>0</v>
      </c>
      <c r="G62" s="100">
        <f>VLOOKUP($B62,[1]XinMoi!$B:$Q,G$9,0)</f>
        <v>0</v>
      </c>
      <c r="H62" s="100">
        <f>VLOOKUP($B62,[1]XinMoi!$B:$Q,H$9,0)</f>
        <v>0</v>
      </c>
      <c r="I62" s="157">
        <f>VLOOKUP($B62,[1]XinMoi!$B:$Q,I$9,0)</f>
        <v>0</v>
      </c>
      <c r="J62" s="158">
        <f t="shared" si="0"/>
        <v>0</v>
      </c>
      <c r="K62" s="159"/>
      <c r="L62" s="148">
        <f t="shared" si="1"/>
        <v>0</v>
      </c>
    </row>
    <row r="63" spans="1:12" s="160" customFormat="1" ht="22.2" hidden="1">
      <c r="A63" s="147" t="str">
        <f>[1]XinMoi!A74</f>
        <v>0</v>
      </c>
      <c r="B63" s="156">
        <v>54</v>
      </c>
      <c r="C63" s="99">
        <f>VLOOKUP($B63,[1]XinMoi!$B:$Q,C$9,0)</f>
        <v>0</v>
      </c>
      <c r="D63" s="100">
        <f>VLOOKUP($B63,[1]XinMoi!$B:$Q,D$9,0)</f>
        <v>0</v>
      </c>
      <c r="E63" s="101">
        <f>VLOOKUP($B63,[1]XinMoi!$B:$Q,E$9,0)</f>
        <v>0</v>
      </c>
      <c r="F63" s="102">
        <f>VLOOKUP($B63,[1]XinMoi!$B:$Q,F$9,0)</f>
        <v>0</v>
      </c>
      <c r="G63" s="100">
        <f>VLOOKUP($B63,[1]XinMoi!$B:$Q,G$9,0)</f>
        <v>0</v>
      </c>
      <c r="H63" s="100">
        <f>VLOOKUP($B63,[1]XinMoi!$B:$Q,H$9,0)</f>
        <v>0</v>
      </c>
      <c r="I63" s="157">
        <f>VLOOKUP($B63,[1]XinMoi!$B:$Q,I$9,0)</f>
        <v>0</v>
      </c>
      <c r="J63" s="158">
        <f t="shared" si="0"/>
        <v>0</v>
      </c>
      <c r="K63" s="159"/>
      <c r="L63" s="148">
        <f t="shared" si="1"/>
        <v>0</v>
      </c>
    </row>
    <row r="64" spans="1:12" s="160" customFormat="1" ht="22.2" hidden="1">
      <c r="A64" s="147" t="str">
        <f>[1]XinMoi!A75</f>
        <v>0</v>
      </c>
      <c r="B64" s="156">
        <v>55</v>
      </c>
      <c r="C64" s="99">
        <f>VLOOKUP($B64,[1]XinMoi!$B:$Q,C$9,0)</f>
        <v>0</v>
      </c>
      <c r="D64" s="100">
        <f>VLOOKUP($B64,[1]XinMoi!$B:$Q,D$9,0)</f>
        <v>0</v>
      </c>
      <c r="E64" s="101">
        <f>VLOOKUP($B64,[1]XinMoi!$B:$Q,E$9,0)</f>
        <v>0</v>
      </c>
      <c r="F64" s="102">
        <f>VLOOKUP($B64,[1]XinMoi!$B:$Q,F$9,0)</f>
        <v>0</v>
      </c>
      <c r="G64" s="100">
        <f>VLOOKUP($B64,[1]XinMoi!$B:$Q,G$9,0)</f>
        <v>0</v>
      </c>
      <c r="H64" s="100">
        <f>VLOOKUP($B64,[1]XinMoi!$B:$Q,H$9,0)</f>
        <v>0</v>
      </c>
      <c r="I64" s="157">
        <f>VLOOKUP($B64,[1]XinMoi!$B:$Q,I$9,0)</f>
        <v>0</v>
      </c>
      <c r="J64" s="158">
        <f t="shared" si="0"/>
        <v>0</v>
      </c>
      <c r="K64" s="159"/>
      <c r="L64" s="148">
        <f t="shared" si="1"/>
        <v>0</v>
      </c>
    </row>
    <row r="65" spans="1:12" s="160" customFormat="1" ht="22.2" hidden="1">
      <c r="A65" s="147" t="str">
        <f>[1]XinMoi!A76</f>
        <v>0</v>
      </c>
      <c r="B65" s="156">
        <v>56</v>
      </c>
      <c r="C65" s="99">
        <f>VLOOKUP($B65,[1]XinMoi!$B:$Q,C$9,0)</f>
        <v>0</v>
      </c>
      <c r="D65" s="100">
        <f>VLOOKUP($B65,[1]XinMoi!$B:$Q,D$9,0)</f>
        <v>0</v>
      </c>
      <c r="E65" s="101">
        <f>VLOOKUP($B65,[1]XinMoi!$B:$Q,E$9,0)</f>
        <v>0</v>
      </c>
      <c r="F65" s="102">
        <f>VLOOKUP($B65,[1]XinMoi!$B:$Q,F$9,0)</f>
        <v>0</v>
      </c>
      <c r="G65" s="100">
        <f>VLOOKUP($B65,[1]XinMoi!$B:$Q,G$9,0)</f>
        <v>0</v>
      </c>
      <c r="H65" s="100">
        <f>VLOOKUP($B65,[1]XinMoi!$B:$Q,H$9,0)</f>
        <v>0</v>
      </c>
      <c r="I65" s="157">
        <f>VLOOKUP($B65,[1]XinMoi!$B:$Q,I$9,0)</f>
        <v>0</v>
      </c>
      <c r="J65" s="158">
        <f t="shared" si="0"/>
        <v>0</v>
      </c>
      <c r="K65" s="159"/>
      <c r="L65" s="148">
        <f t="shared" si="1"/>
        <v>0</v>
      </c>
    </row>
    <row r="66" spans="1:12" s="160" customFormat="1" ht="22.2" hidden="1">
      <c r="A66" s="147" t="str">
        <f>[1]XinMoi!A77</f>
        <v>0</v>
      </c>
      <c r="B66" s="156">
        <v>57</v>
      </c>
      <c r="C66" s="99">
        <f>VLOOKUP($B66,[1]XinMoi!$B:$Q,C$9,0)</f>
        <v>0</v>
      </c>
      <c r="D66" s="100">
        <f>VLOOKUP($B66,[1]XinMoi!$B:$Q,D$9,0)</f>
        <v>0</v>
      </c>
      <c r="E66" s="101">
        <f>VLOOKUP($B66,[1]XinMoi!$B:$Q,E$9,0)</f>
        <v>0</v>
      </c>
      <c r="F66" s="102">
        <f>VLOOKUP($B66,[1]XinMoi!$B:$Q,F$9,0)</f>
        <v>0</v>
      </c>
      <c r="G66" s="100">
        <f>VLOOKUP($B66,[1]XinMoi!$B:$Q,G$9,0)</f>
        <v>0</v>
      </c>
      <c r="H66" s="100">
        <f>VLOOKUP($B66,[1]XinMoi!$B:$Q,H$9,0)</f>
        <v>0</v>
      </c>
      <c r="I66" s="157">
        <f>VLOOKUP($B66,[1]XinMoi!$B:$Q,I$9,0)</f>
        <v>0</v>
      </c>
      <c r="J66" s="158">
        <f t="shared" si="0"/>
        <v>0</v>
      </c>
      <c r="K66" s="159"/>
      <c r="L66" s="148">
        <f t="shared" si="1"/>
        <v>0</v>
      </c>
    </row>
    <row r="67" spans="1:12" s="160" customFormat="1" ht="22.2" hidden="1">
      <c r="A67" s="147" t="str">
        <f>[1]XinMoi!A78</f>
        <v>0</v>
      </c>
      <c r="B67" s="156">
        <v>58</v>
      </c>
      <c r="C67" s="99">
        <f>VLOOKUP($B67,[1]XinMoi!$B:$Q,C$9,0)</f>
        <v>0</v>
      </c>
      <c r="D67" s="100">
        <f>VLOOKUP($B67,[1]XinMoi!$B:$Q,D$9,0)</f>
        <v>0</v>
      </c>
      <c r="E67" s="101">
        <f>VLOOKUP($B67,[1]XinMoi!$B:$Q,E$9,0)</f>
        <v>0</v>
      </c>
      <c r="F67" s="102">
        <f>VLOOKUP($B67,[1]XinMoi!$B:$Q,F$9,0)</f>
        <v>0</v>
      </c>
      <c r="G67" s="100">
        <f>VLOOKUP($B67,[1]XinMoi!$B:$Q,G$9,0)</f>
        <v>0</v>
      </c>
      <c r="H67" s="100">
        <f>VLOOKUP($B67,[1]XinMoi!$B:$Q,H$9,0)</f>
        <v>0</v>
      </c>
      <c r="I67" s="157">
        <f>VLOOKUP($B67,[1]XinMoi!$B:$Q,I$9,0)</f>
        <v>0</v>
      </c>
      <c r="J67" s="158">
        <f t="shared" si="0"/>
        <v>0</v>
      </c>
      <c r="K67" s="159"/>
      <c r="L67" s="148">
        <f t="shared" si="1"/>
        <v>0</v>
      </c>
    </row>
    <row r="68" spans="1:12" s="160" customFormat="1" ht="22.2" hidden="1">
      <c r="A68" s="147" t="str">
        <f>[1]XinMoi!A79</f>
        <v>0</v>
      </c>
      <c r="B68" s="156">
        <v>59</v>
      </c>
      <c r="C68" s="99">
        <f>VLOOKUP($B68,[1]XinMoi!$B:$Q,C$9,0)</f>
        <v>0</v>
      </c>
      <c r="D68" s="100">
        <f>VLOOKUP($B68,[1]XinMoi!$B:$Q,D$9,0)</f>
        <v>0</v>
      </c>
      <c r="E68" s="101">
        <f>VLOOKUP($B68,[1]XinMoi!$B:$Q,E$9,0)</f>
        <v>0</v>
      </c>
      <c r="F68" s="102">
        <f>VLOOKUP($B68,[1]XinMoi!$B:$Q,F$9,0)</f>
        <v>0</v>
      </c>
      <c r="G68" s="100">
        <f>VLOOKUP($B68,[1]XinMoi!$B:$Q,G$9,0)</f>
        <v>0</v>
      </c>
      <c r="H68" s="100">
        <f>VLOOKUP($B68,[1]XinMoi!$B:$Q,H$9,0)</f>
        <v>0</v>
      </c>
      <c r="I68" s="157">
        <f>VLOOKUP($B68,[1]XinMoi!$B:$Q,I$9,0)</f>
        <v>0</v>
      </c>
      <c r="J68" s="158">
        <f t="shared" si="0"/>
        <v>0</v>
      </c>
      <c r="K68" s="159"/>
      <c r="L68" s="148">
        <f t="shared" si="1"/>
        <v>0</v>
      </c>
    </row>
    <row r="69" spans="1:12" s="160" customFormat="1" ht="22.2" hidden="1">
      <c r="A69" s="147" t="str">
        <f>[1]XinMoi!A80</f>
        <v>0</v>
      </c>
      <c r="B69" s="156">
        <v>60</v>
      </c>
      <c r="C69" s="99">
        <f>VLOOKUP($B69,[1]XinMoi!$B:$Q,C$9,0)</f>
        <v>0</v>
      </c>
      <c r="D69" s="100">
        <f>VLOOKUP($B69,[1]XinMoi!$B:$Q,D$9,0)</f>
        <v>0</v>
      </c>
      <c r="E69" s="101">
        <f>VLOOKUP($B69,[1]XinMoi!$B:$Q,E$9,0)</f>
        <v>0</v>
      </c>
      <c r="F69" s="102">
        <f>VLOOKUP($B69,[1]XinMoi!$B:$Q,F$9,0)</f>
        <v>0</v>
      </c>
      <c r="G69" s="100">
        <f>VLOOKUP($B69,[1]XinMoi!$B:$Q,G$9,0)</f>
        <v>0</v>
      </c>
      <c r="H69" s="100">
        <f>VLOOKUP($B69,[1]XinMoi!$B:$Q,H$9,0)</f>
        <v>0</v>
      </c>
      <c r="I69" s="157">
        <f>VLOOKUP($B69,[1]XinMoi!$B:$Q,I$9,0)</f>
        <v>0</v>
      </c>
      <c r="J69" s="158">
        <f t="shared" si="0"/>
        <v>0</v>
      </c>
      <c r="K69" s="159"/>
      <c r="L69" s="148">
        <f t="shared" si="1"/>
        <v>0</v>
      </c>
    </row>
    <row r="70" spans="1:12" s="160" customFormat="1" ht="22.2" hidden="1">
      <c r="A70" s="147" t="str">
        <f>[1]XinMoi!A81</f>
        <v>0</v>
      </c>
      <c r="B70" s="156">
        <v>61</v>
      </c>
      <c r="C70" s="99">
        <f>VLOOKUP($B70,[1]XinMoi!$B:$Q,C$9,0)</f>
        <v>0</v>
      </c>
      <c r="D70" s="100">
        <f>VLOOKUP($B70,[1]XinMoi!$B:$Q,D$9,0)</f>
        <v>0</v>
      </c>
      <c r="E70" s="101">
        <f>VLOOKUP($B70,[1]XinMoi!$B:$Q,E$9,0)</f>
        <v>0</v>
      </c>
      <c r="F70" s="102">
        <f>VLOOKUP($B70,[1]XinMoi!$B:$Q,F$9,0)</f>
        <v>0</v>
      </c>
      <c r="G70" s="100">
        <f>VLOOKUP($B70,[1]XinMoi!$B:$Q,G$9,0)</f>
        <v>0</v>
      </c>
      <c r="H70" s="100">
        <f>VLOOKUP($B70,[1]XinMoi!$B:$Q,H$9,0)</f>
        <v>0</v>
      </c>
      <c r="I70" s="157">
        <f>VLOOKUP($B70,[1]XinMoi!$B:$Q,I$9,0)</f>
        <v>0</v>
      </c>
      <c r="J70" s="158">
        <f t="shared" si="0"/>
        <v>0</v>
      </c>
      <c r="K70" s="159"/>
      <c r="L70" s="148">
        <f t="shared" si="1"/>
        <v>0</v>
      </c>
    </row>
    <row r="71" spans="1:12" s="160" customFormat="1" ht="22.2" hidden="1">
      <c r="A71" s="147" t="str">
        <f>[1]XinMoi!A82</f>
        <v>0</v>
      </c>
      <c r="B71" s="156">
        <v>62</v>
      </c>
      <c r="C71" s="99">
        <f>VLOOKUP($B71,[1]XinMoi!$B:$Q,C$9,0)</f>
        <v>0</v>
      </c>
      <c r="D71" s="100">
        <f>VLOOKUP($B71,[1]XinMoi!$B:$Q,D$9,0)</f>
        <v>0</v>
      </c>
      <c r="E71" s="101">
        <f>VLOOKUP($B71,[1]XinMoi!$B:$Q,E$9,0)</f>
        <v>0</v>
      </c>
      <c r="F71" s="102">
        <f>VLOOKUP($B71,[1]XinMoi!$B:$Q,F$9,0)</f>
        <v>0</v>
      </c>
      <c r="G71" s="100">
        <f>VLOOKUP($B71,[1]XinMoi!$B:$Q,G$9,0)</f>
        <v>0</v>
      </c>
      <c r="H71" s="100">
        <f>VLOOKUP($B71,[1]XinMoi!$B:$Q,H$9,0)</f>
        <v>0</v>
      </c>
      <c r="I71" s="157">
        <f>VLOOKUP($B71,[1]XinMoi!$B:$Q,I$9,0)</f>
        <v>0</v>
      </c>
      <c r="J71" s="158">
        <f t="shared" si="0"/>
        <v>0</v>
      </c>
      <c r="K71" s="159"/>
      <c r="L71" s="148">
        <f t="shared" si="1"/>
        <v>0</v>
      </c>
    </row>
    <row r="72" spans="1:12" s="160" customFormat="1" ht="22.2" hidden="1">
      <c r="A72" s="147" t="str">
        <f>[1]XinMoi!A83</f>
        <v>0</v>
      </c>
      <c r="B72" s="156">
        <v>63</v>
      </c>
      <c r="C72" s="99">
        <f>VLOOKUP($B72,[1]XinMoi!$B:$Q,C$9,0)</f>
        <v>0</v>
      </c>
      <c r="D72" s="100">
        <f>VLOOKUP($B72,[1]XinMoi!$B:$Q,D$9,0)</f>
        <v>0</v>
      </c>
      <c r="E72" s="101">
        <f>VLOOKUP($B72,[1]XinMoi!$B:$Q,E$9,0)</f>
        <v>0</v>
      </c>
      <c r="F72" s="102">
        <f>VLOOKUP($B72,[1]XinMoi!$B:$Q,F$9,0)</f>
        <v>0</v>
      </c>
      <c r="G72" s="100">
        <f>VLOOKUP($B72,[1]XinMoi!$B:$Q,G$9,0)</f>
        <v>0</v>
      </c>
      <c r="H72" s="100">
        <f>VLOOKUP($B72,[1]XinMoi!$B:$Q,H$9,0)</f>
        <v>0</v>
      </c>
      <c r="I72" s="157">
        <f>VLOOKUP($B72,[1]XinMoi!$B:$Q,I$9,0)</f>
        <v>0</v>
      </c>
      <c r="J72" s="158">
        <f t="shared" si="0"/>
        <v>0</v>
      </c>
      <c r="K72" s="159"/>
      <c r="L72" s="148">
        <f t="shared" si="1"/>
        <v>0</v>
      </c>
    </row>
    <row r="73" spans="1:12" s="160" customFormat="1" ht="22.2" hidden="1">
      <c r="A73" s="147" t="str">
        <f>[1]XinMoi!A84</f>
        <v>0</v>
      </c>
      <c r="B73" s="156">
        <v>64</v>
      </c>
      <c r="C73" s="99">
        <f>VLOOKUP($B73,[1]XinMoi!$B:$Q,C$9,0)</f>
        <v>0</v>
      </c>
      <c r="D73" s="100">
        <f>VLOOKUP($B73,[1]XinMoi!$B:$Q,D$9,0)</f>
        <v>0</v>
      </c>
      <c r="E73" s="101">
        <f>VLOOKUP($B73,[1]XinMoi!$B:$Q,E$9,0)</f>
        <v>0</v>
      </c>
      <c r="F73" s="102">
        <f>VLOOKUP($B73,[1]XinMoi!$B:$Q,F$9,0)</f>
        <v>0</v>
      </c>
      <c r="G73" s="100">
        <f>VLOOKUP($B73,[1]XinMoi!$B:$Q,G$9,0)</f>
        <v>0</v>
      </c>
      <c r="H73" s="100">
        <f>VLOOKUP($B73,[1]XinMoi!$B:$Q,H$9,0)</f>
        <v>0</v>
      </c>
      <c r="I73" s="157">
        <f>VLOOKUP($B73,[1]XinMoi!$B:$Q,I$9,0)</f>
        <v>0</v>
      </c>
      <c r="J73" s="158">
        <f t="shared" si="0"/>
        <v>0</v>
      </c>
      <c r="K73" s="159"/>
      <c r="L73" s="148">
        <f t="shared" si="1"/>
        <v>0</v>
      </c>
    </row>
    <row r="74" spans="1:12" s="160" customFormat="1" ht="22.2" hidden="1">
      <c r="A74" s="147" t="str">
        <f>[1]XinMoi!A85</f>
        <v>0</v>
      </c>
      <c r="B74" s="156">
        <v>65</v>
      </c>
      <c r="C74" s="99">
        <f>VLOOKUP($B74,[1]XinMoi!$B:$Q,C$9,0)</f>
        <v>0</v>
      </c>
      <c r="D74" s="100">
        <f>VLOOKUP($B74,[1]XinMoi!$B:$Q,D$9,0)</f>
        <v>0</v>
      </c>
      <c r="E74" s="101">
        <f>VLOOKUP($B74,[1]XinMoi!$B:$Q,E$9,0)</f>
        <v>0</v>
      </c>
      <c r="F74" s="102">
        <f>VLOOKUP($B74,[1]XinMoi!$B:$Q,F$9,0)</f>
        <v>0</v>
      </c>
      <c r="G74" s="100">
        <f>VLOOKUP($B74,[1]XinMoi!$B:$Q,G$9,0)</f>
        <v>0</v>
      </c>
      <c r="H74" s="100">
        <f>VLOOKUP($B74,[1]XinMoi!$B:$Q,H$9,0)</f>
        <v>0</v>
      </c>
      <c r="I74" s="157">
        <f>VLOOKUP($B74,[1]XinMoi!$B:$Q,I$9,0)</f>
        <v>0</v>
      </c>
      <c r="J74" s="158">
        <f t="shared" si="0"/>
        <v>0</v>
      </c>
      <c r="K74" s="159"/>
      <c r="L74" s="148">
        <f t="shared" si="1"/>
        <v>0</v>
      </c>
    </row>
    <row r="75" spans="1:12" s="160" customFormat="1" ht="22.2" hidden="1">
      <c r="A75" s="147" t="str">
        <f>[1]XinMoi!A86</f>
        <v>0</v>
      </c>
      <c r="B75" s="156">
        <v>66</v>
      </c>
      <c r="C75" s="99">
        <f>VLOOKUP($B75,[1]XinMoi!$B:$Q,C$9,0)</f>
        <v>0</v>
      </c>
      <c r="D75" s="100">
        <f>VLOOKUP($B75,[1]XinMoi!$B:$Q,D$9,0)</f>
        <v>0</v>
      </c>
      <c r="E75" s="101">
        <f>VLOOKUP($B75,[1]XinMoi!$B:$Q,E$9,0)</f>
        <v>0</v>
      </c>
      <c r="F75" s="102">
        <f>VLOOKUP($B75,[1]XinMoi!$B:$Q,F$9,0)</f>
        <v>0</v>
      </c>
      <c r="G75" s="100">
        <f>VLOOKUP($B75,[1]XinMoi!$B:$Q,G$9,0)</f>
        <v>0</v>
      </c>
      <c r="H75" s="100">
        <f>VLOOKUP($B75,[1]XinMoi!$B:$Q,H$9,0)</f>
        <v>0</v>
      </c>
      <c r="I75" s="157">
        <f>VLOOKUP($B75,[1]XinMoi!$B:$Q,I$9,0)</f>
        <v>0</v>
      </c>
      <c r="J75" s="158">
        <f t="shared" ref="J75:J132" si="2">IFERROR(ROUND(H75*I75,0),0)</f>
        <v>0</v>
      </c>
      <c r="K75" s="159"/>
      <c r="L75" s="148">
        <f t="shared" ref="L75:L134" si="3">IF(D75&lt;&gt;0,1,0)</f>
        <v>0</v>
      </c>
    </row>
    <row r="76" spans="1:12" s="160" customFormat="1" ht="22.2" hidden="1">
      <c r="A76" s="147" t="str">
        <f>[1]XinMoi!A87</f>
        <v>0</v>
      </c>
      <c r="B76" s="156">
        <v>67</v>
      </c>
      <c r="C76" s="99">
        <f>VLOOKUP($B76,[1]XinMoi!$B:$Q,C$9,0)</f>
        <v>0</v>
      </c>
      <c r="D76" s="100">
        <f>VLOOKUP($B76,[1]XinMoi!$B:$Q,D$9,0)</f>
        <v>0</v>
      </c>
      <c r="E76" s="101">
        <f>VLOOKUP($B76,[1]XinMoi!$B:$Q,E$9,0)</f>
        <v>0</v>
      </c>
      <c r="F76" s="102">
        <f>VLOOKUP($B76,[1]XinMoi!$B:$Q,F$9,0)</f>
        <v>0</v>
      </c>
      <c r="G76" s="100">
        <f>VLOOKUP($B76,[1]XinMoi!$B:$Q,G$9,0)</f>
        <v>0</v>
      </c>
      <c r="H76" s="100">
        <f>VLOOKUP($B76,[1]XinMoi!$B:$Q,H$9,0)</f>
        <v>0</v>
      </c>
      <c r="I76" s="157">
        <f>VLOOKUP($B76,[1]XinMoi!$B:$Q,I$9,0)</f>
        <v>0</v>
      </c>
      <c r="J76" s="158">
        <f t="shared" si="2"/>
        <v>0</v>
      </c>
      <c r="K76" s="159"/>
      <c r="L76" s="148">
        <f t="shared" si="3"/>
        <v>0</v>
      </c>
    </row>
    <row r="77" spans="1:12" s="160" customFormat="1" ht="22.2" hidden="1">
      <c r="A77" s="147" t="str">
        <f>[1]XinMoi!A88</f>
        <v>0</v>
      </c>
      <c r="B77" s="156">
        <v>68</v>
      </c>
      <c r="C77" s="99">
        <f>VLOOKUP($B77,[1]XinMoi!$B:$Q,C$9,0)</f>
        <v>0</v>
      </c>
      <c r="D77" s="100">
        <f>VLOOKUP($B77,[1]XinMoi!$B:$Q,D$9,0)</f>
        <v>0</v>
      </c>
      <c r="E77" s="101">
        <f>VLOOKUP($B77,[1]XinMoi!$B:$Q,E$9,0)</f>
        <v>0</v>
      </c>
      <c r="F77" s="102">
        <f>VLOOKUP($B77,[1]XinMoi!$B:$Q,F$9,0)</f>
        <v>0</v>
      </c>
      <c r="G77" s="100">
        <f>VLOOKUP($B77,[1]XinMoi!$B:$Q,G$9,0)</f>
        <v>0</v>
      </c>
      <c r="H77" s="100">
        <f>VLOOKUP($B77,[1]XinMoi!$B:$Q,H$9,0)</f>
        <v>0</v>
      </c>
      <c r="I77" s="157">
        <f>VLOOKUP($B77,[1]XinMoi!$B:$Q,I$9,0)</f>
        <v>0</v>
      </c>
      <c r="J77" s="158">
        <f t="shared" si="2"/>
        <v>0</v>
      </c>
      <c r="K77" s="159"/>
      <c r="L77" s="148">
        <f t="shared" si="3"/>
        <v>0</v>
      </c>
    </row>
    <row r="78" spans="1:12" s="160" customFormat="1" ht="22.2" hidden="1">
      <c r="A78" s="147" t="str">
        <f>[1]XinMoi!A89</f>
        <v>0</v>
      </c>
      <c r="B78" s="156">
        <v>69</v>
      </c>
      <c r="C78" s="99">
        <f>VLOOKUP($B78,[1]XinMoi!$B:$Q,C$9,0)</f>
        <v>0</v>
      </c>
      <c r="D78" s="100">
        <f>VLOOKUP($B78,[1]XinMoi!$B:$Q,D$9,0)</f>
        <v>0</v>
      </c>
      <c r="E78" s="101">
        <f>VLOOKUP($B78,[1]XinMoi!$B:$Q,E$9,0)</f>
        <v>0</v>
      </c>
      <c r="F78" s="102">
        <f>VLOOKUP($B78,[1]XinMoi!$B:$Q,F$9,0)</f>
        <v>0</v>
      </c>
      <c r="G78" s="100">
        <f>VLOOKUP($B78,[1]XinMoi!$B:$Q,G$9,0)</f>
        <v>0</v>
      </c>
      <c r="H78" s="100">
        <f>VLOOKUP($B78,[1]XinMoi!$B:$Q,H$9,0)</f>
        <v>0</v>
      </c>
      <c r="I78" s="157">
        <f>VLOOKUP($B78,[1]XinMoi!$B:$Q,I$9,0)</f>
        <v>0</v>
      </c>
      <c r="J78" s="158">
        <f t="shared" si="2"/>
        <v>0</v>
      </c>
      <c r="K78" s="159"/>
      <c r="L78" s="148">
        <f t="shared" si="3"/>
        <v>0</v>
      </c>
    </row>
    <row r="79" spans="1:12" s="160" customFormat="1" ht="22.2" hidden="1">
      <c r="A79" s="147" t="str">
        <f>[1]XinMoi!A90</f>
        <v>0</v>
      </c>
      <c r="B79" s="156">
        <v>70</v>
      </c>
      <c r="C79" s="99">
        <f>VLOOKUP($B79,[1]XinMoi!$B:$Q,C$9,0)</f>
        <v>0</v>
      </c>
      <c r="D79" s="100">
        <f>VLOOKUP($B79,[1]XinMoi!$B:$Q,D$9,0)</f>
        <v>0</v>
      </c>
      <c r="E79" s="101">
        <f>VLOOKUP($B79,[1]XinMoi!$B:$Q,E$9,0)</f>
        <v>0</v>
      </c>
      <c r="F79" s="102">
        <f>VLOOKUP($B79,[1]XinMoi!$B:$Q,F$9,0)</f>
        <v>0</v>
      </c>
      <c r="G79" s="100">
        <f>VLOOKUP($B79,[1]XinMoi!$B:$Q,G$9,0)</f>
        <v>0</v>
      </c>
      <c r="H79" s="100">
        <f>VLOOKUP($B79,[1]XinMoi!$B:$Q,H$9,0)</f>
        <v>0</v>
      </c>
      <c r="I79" s="157">
        <f>VLOOKUP($B79,[1]XinMoi!$B:$Q,I$9,0)</f>
        <v>0</v>
      </c>
      <c r="J79" s="158">
        <f t="shared" si="2"/>
        <v>0</v>
      </c>
      <c r="K79" s="159"/>
      <c r="L79" s="148">
        <f t="shared" si="3"/>
        <v>0</v>
      </c>
    </row>
    <row r="80" spans="1:12" s="160" customFormat="1" ht="22.2" hidden="1">
      <c r="A80" s="147" t="str">
        <f>[1]XinMoi!A91</f>
        <v>0</v>
      </c>
      <c r="B80" s="156">
        <v>71</v>
      </c>
      <c r="C80" s="99">
        <f>VLOOKUP($B80,[1]XinMoi!$B:$Q,C$9,0)</f>
        <v>0</v>
      </c>
      <c r="D80" s="100">
        <f>VLOOKUP($B80,[1]XinMoi!$B:$Q,D$9,0)</f>
        <v>0</v>
      </c>
      <c r="E80" s="101">
        <f>VLOOKUP($B80,[1]XinMoi!$B:$Q,E$9,0)</f>
        <v>0</v>
      </c>
      <c r="F80" s="102">
        <f>VLOOKUP($B80,[1]XinMoi!$B:$Q,F$9,0)</f>
        <v>0</v>
      </c>
      <c r="G80" s="100">
        <f>VLOOKUP($B80,[1]XinMoi!$B:$Q,G$9,0)</f>
        <v>0</v>
      </c>
      <c r="H80" s="100">
        <f>VLOOKUP($B80,[1]XinMoi!$B:$Q,H$9,0)</f>
        <v>0</v>
      </c>
      <c r="I80" s="157">
        <f>VLOOKUP($B80,[1]XinMoi!$B:$Q,I$9,0)</f>
        <v>0</v>
      </c>
      <c r="J80" s="158">
        <f t="shared" si="2"/>
        <v>0</v>
      </c>
      <c r="K80" s="159"/>
      <c r="L80" s="148">
        <f t="shared" si="3"/>
        <v>0</v>
      </c>
    </row>
    <row r="81" spans="1:12" s="160" customFormat="1" ht="22.2" hidden="1">
      <c r="A81" s="147" t="str">
        <f>[1]XinMoi!A92</f>
        <v>0</v>
      </c>
      <c r="B81" s="156">
        <v>72</v>
      </c>
      <c r="C81" s="99">
        <f>VLOOKUP($B81,[1]XinMoi!$B:$Q,C$9,0)</f>
        <v>0</v>
      </c>
      <c r="D81" s="100">
        <f>VLOOKUP($B81,[1]XinMoi!$B:$Q,D$9,0)</f>
        <v>0</v>
      </c>
      <c r="E81" s="101">
        <f>VLOOKUP($B81,[1]XinMoi!$B:$Q,E$9,0)</f>
        <v>0</v>
      </c>
      <c r="F81" s="102">
        <f>VLOOKUP($B81,[1]XinMoi!$B:$Q,F$9,0)</f>
        <v>0</v>
      </c>
      <c r="G81" s="100">
        <f>VLOOKUP($B81,[1]XinMoi!$B:$Q,G$9,0)</f>
        <v>0</v>
      </c>
      <c r="H81" s="100">
        <f>VLOOKUP($B81,[1]XinMoi!$B:$Q,H$9,0)</f>
        <v>0</v>
      </c>
      <c r="I81" s="157">
        <f>VLOOKUP($B81,[1]XinMoi!$B:$Q,I$9,0)</f>
        <v>0</v>
      </c>
      <c r="J81" s="158">
        <f t="shared" si="2"/>
        <v>0</v>
      </c>
      <c r="K81" s="159"/>
      <c r="L81" s="148">
        <f t="shared" si="3"/>
        <v>0</v>
      </c>
    </row>
    <row r="82" spans="1:12" s="160" customFormat="1" ht="22.2" hidden="1">
      <c r="A82" s="147" t="str">
        <f>[1]XinMoi!A93</f>
        <v>0</v>
      </c>
      <c r="B82" s="156">
        <v>73</v>
      </c>
      <c r="C82" s="99">
        <f>VLOOKUP($B82,[1]XinMoi!$B:$Q,C$9,0)</f>
        <v>0</v>
      </c>
      <c r="D82" s="100">
        <f>VLOOKUP($B82,[1]XinMoi!$B:$Q,D$9,0)</f>
        <v>0</v>
      </c>
      <c r="E82" s="101">
        <f>VLOOKUP($B82,[1]XinMoi!$B:$Q,E$9,0)</f>
        <v>0</v>
      </c>
      <c r="F82" s="102">
        <f>VLOOKUP($B82,[1]XinMoi!$B:$Q,F$9,0)</f>
        <v>0</v>
      </c>
      <c r="G82" s="100">
        <f>VLOOKUP($B82,[1]XinMoi!$B:$Q,G$9,0)</f>
        <v>0</v>
      </c>
      <c r="H82" s="100">
        <f>VLOOKUP($B82,[1]XinMoi!$B:$Q,H$9,0)</f>
        <v>0</v>
      </c>
      <c r="I82" s="157">
        <f>VLOOKUP($B82,[1]XinMoi!$B:$Q,I$9,0)</f>
        <v>0</v>
      </c>
      <c r="J82" s="158">
        <f t="shared" si="2"/>
        <v>0</v>
      </c>
      <c r="K82" s="159"/>
      <c r="L82" s="148">
        <f t="shared" si="3"/>
        <v>0</v>
      </c>
    </row>
    <row r="83" spans="1:12" s="160" customFormat="1" ht="22.2" hidden="1">
      <c r="A83" s="147" t="str">
        <f>[1]XinMoi!A94</f>
        <v>0</v>
      </c>
      <c r="B83" s="156">
        <v>74</v>
      </c>
      <c r="C83" s="99">
        <f>VLOOKUP($B83,[1]XinMoi!$B:$Q,C$9,0)</f>
        <v>0</v>
      </c>
      <c r="D83" s="100">
        <f>VLOOKUP($B83,[1]XinMoi!$B:$Q,D$9,0)</f>
        <v>0</v>
      </c>
      <c r="E83" s="101">
        <f>VLOOKUP($B83,[1]XinMoi!$B:$Q,E$9,0)</f>
        <v>0</v>
      </c>
      <c r="F83" s="102">
        <f>VLOOKUP($B83,[1]XinMoi!$B:$Q,F$9,0)</f>
        <v>0</v>
      </c>
      <c r="G83" s="100">
        <f>VLOOKUP($B83,[1]XinMoi!$B:$Q,G$9,0)</f>
        <v>0</v>
      </c>
      <c r="H83" s="100">
        <f>VLOOKUP($B83,[1]XinMoi!$B:$Q,H$9,0)</f>
        <v>0</v>
      </c>
      <c r="I83" s="157">
        <f>VLOOKUP($B83,[1]XinMoi!$B:$Q,I$9,0)</f>
        <v>0</v>
      </c>
      <c r="J83" s="158">
        <f t="shared" si="2"/>
        <v>0</v>
      </c>
      <c r="K83" s="159"/>
      <c r="L83" s="148">
        <f t="shared" si="3"/>
        <v>0</v>
      </c>
    </row>
    <row r="84" spans="1:12" s="160" customFormat="1" ht="22.2" hidden="1">
      <c r="A84" s="147" t="str">
        <f>[1]XinMoi!A95</f>
        <v>0</v>
      </c>
      <c r="B84" s="156">
        <v>75</v>
      </c>
      <c r="C84" s="99">
        <f>VLOOKUP($B84,[1]XinMoi!$B:$Q,C$9,0)</f>
        <v>0</v>
      </c>
      <c r="D84" s="100">
        <f>VLOOKUP($B84,[1]XinMoi!$B:$Q,D$9,0)</f>
        <v>0</v>
      </c>
      <c r="E84" s="101">
        <f>VLOOKUP($B84,[1]XinMoi!$B:$Q,E$9,0)</f>
        <v>0</v>
      </c>
      <c r="F84" s="102">
        <f>VLOOKUP($B84,[1]XinMoi!$B:$Q,F$9,0)</f>
        <v>0</v>
      </c>
      <c r="G84" s="100">
        <f>VLOOKUP($B84,[1]XinMoi!$B:$Q,G$9,0)</f>
        <v>0</v>
      </c>
      <c r="H84" s="100">
        <f>VLOOKUP($B84,[1]XinMoi!$B:$Q,H$9,0)</f>
        <v>0</v>
      </c>
      <c r="I84" s="157">
        <f>VLOOKUP($B84,[1]XinMoi!$B:$Q,I$9,0)</f>
        <v>0</v>
      </c>
      <c r="J84" s="158">
        <f t="shared" si="2"/>
        <v>0</v>
      </c>
      <c r="K84" s="159"/>
      <c r="L84" s="148">
        <f t="shared" si="3"/>
        <v>0</v>
      </c>
    </row>
    <row r="85" spans="1:12" s="160" customFormat="1" ht="22.2" hidden="1">
      <c r="A85" s="147" t="str">
        <f>[1]XinMoi!A96</f>
        <v>0</v>
      </c>
      <c r="B85" s="156">
        <v>76</v>
      </c>
      <c r="C85" s="99">
        <f>VLOOKUP($B85,[1]XinMoi!$B:$Q,C$9,0)</f>
        <v>0</v>
      </c>
      <c r="D85" s="100">
        <f>VLOOKUP($B85,[1]XinMoi!$B:$Q,D$9,0)</f>
        <v>0</v>
      </c>
      <c r="E85" s="101">
        <f>VLOOKUP($B85,[1]XinMoi!$B:$Q,E$9,0)</f>
        <v>0</v>
      </c>
      <c r="F85" s="102">
        <f>VLOOKUP($B85,[1]XinMoi!$B:$Q,F$9,0)</f>
        <v>0</v>
      </c>
      <c r="G85" s="100">
        <f>VLOOKUP($B85,[1]XinMoi!$B:$Q,G$9,0)</f>
        <v>0</v>
      </c>
      <c r="H85" s="100">
        <f>VLOOKUP($B85,[1]XinMoi!$B:$Q,H$9,0)</f>
        <v>0</v>
      </c>
      <c r="I85" s="157">
        <f>VLOOKUP($B85,[1]XinMoi!$B:$Q,I$9,0)</f>
        <v>0</v>
      </c>
      <c r="J85" s="158">
        <f t="shared" si="2"/>
        <v>0</v>
      </c>
      <c r="K85" s="159"/>
      <c r="L85" s="148">
        <f t="shared" si="3"/>
        <v>0</v>
      </c>
    </row>
    <row r="86" spans="1:12" s="160" customFormat="1" ht="22.2" hidden="1">
      <c r="A86" s="147" t="str">
        <f>[1]XinMoi!A97</f>
        <v>0</v>
      </c>
      <c r="B86" s="156">
        <v>77</v>
      </c>
      <c r="C86" s="99">
        <f>VLOOKUP($B86,[1]XinMoi!$B:$Q,C$9,0)</f>
        <v>0</v>
      </c>
      <c r="D86" s="100">
        <f>VLOOKUP($B86,[1]XinMoi!$B:$Q,D$9,0)</f>
        <v>0</v>
      </c>
      <c r="E86" s="101">
        <f>VLOOKUP($B86,[1]XinMoi!$B:$Q,E$9,0)</f>
        <v>0</v>
      </c>
      <c r="F86" s="102">
        <f>VLOOKUP($B86,[1]XinMoi!$B:$Q,F$9,0)</f>
        <v>0</v>
      </c>
      <c r="G86" s="100">
        <f>VLOOKUP($B86,[1]XinMoi!$B:$Q,G$9,0)</f>
        <v>0</v>
      </c>
      <c r="H86" s="100">
        <f>VLOOKUP($B86,[1]XinMoi!$B:$Q,H$9,0)</f>
        <v>0</v>
      </c>
      <c r="I86" s="157">
        <f>VLOOKUP($B86,[1]XinMoi!$B:$Q,I$9,0)</f>
        <v>0</v>
      </c>
      <c r="J86" s="158">
        <f t="shared" si="2"/>
        <v>0</v>
      </c>
      <c r="K86" s="159"/>
      <c r="L86" s="148">
        <f t="shared" si="3"/>
        <v>0</v>
      </c>
    </row>
    <row r="87" spans="1:12" s="160" customFormat="1" ht="22.2" hidden="1">
      <c r="A87" s="147" t="str">
        <f>[1]XinMoi!A98</f>
        <v>0</v>
      </c>
      <c r="B87" s="156">
        <v>78</v>
      </c>
      <c r="C87" s="99">
        <f>VLOOKUP($B87,[1]XinMoi!$B:$Q,C$9,0)</f>
        <v>0</v>
      </c>
      <c r="D87" s="100">
        <f>VLOOKUP($B87,[1]XinMoi!$B:$Q,D$9,0)</f>
        <v>0</v>
      </c>
      <c r="E87" s="101">
        <f>VLOOKUP($B87,[1]XinMoi!$B:$Q,E$9,0)</f>
        <v>0</v>
      </c>
      <c r="F87" s="102">
        <f>VLOOKUP($B87,[1]XinMoi!$B:$Q,F$9,0)</f>
        <v>0</v>
      </c>
      <c r="G87" s="100">
        <f>VLOOKUP($B87,[1]XinMoi!$B:$Q,G$9,0)</f>
        <v>0</v>
      </c>
      <c r="H87" s="100">
        <f>VLOOKUP($B87,[1]XinMoi!$B:$Q,H$9,0)</f>
        <v>0</v>
      </c>
      <c r="I87" s="157">
        <f>VLOOKUP($B87,[1]XinMoi!$B:$Q,I$9,0)</f>
        <v>0</v>
      </c>
      <c r="J87" s="158">
        <f t="shared" si="2"/>
        <v>0</v>
      </c>
      <c r="K87" s="159"/>
      <c r="L87" s="148">
        <f t="shared" si="3"/>
        <v>0</v>
      </c>
    </row>
    <row r="88" spans="1:12" s="160" customFormat="1" ht="22.2" hidden="1">
      <c r="A88" s="147" t="str">
        <f>[1]XinMoi!A99</f>
        <v>0</v>
      </c>
      <c r="B88" s="156">
        <v>79</v>
      </c>
      <c r="C88" s="99">
        <f>VLOOKUP($B88,[1]XinMoi!$B:$Q,C$9,0)</f>
        <v>0</v>
      </c>
      <c r="D88" s="100">
        <f>VLOOKUP($B88,[1]XinMoi!$B:$Q,D$9,0)</f>
        <v>0</v>
      </c>
      <c r="E88" s="101">
        <f>VLOOKUP($B88,[1]XinMoi!$B:$Q,E$9,0)</f>
        <v>0</v>
      </c>
      <c r="F88" s="102">
        <f>VLOOKUP($B88,[1]XinMoi!$B:$Q,F$9,0)</f>
        <v>0</v>
      </c>
      <c r="G88" s="100">
        <f>VLOOKUP($B88,[1]XinMoi!$B:$Q,G$9,0)</f>
        <v>0</v>
      </c>
      <c r="H88" s="100">
        <f>VLOOKUP($B88,[1]XinMoi!$B:$Q,H$9,0)</f>
        <v>0</v>
      </c>
      <c r="I88" s="157">
        <f>VLOOKUP($B88,[1]XinMoi!$B:$Q,I$9,0)</f>
        <v>0</v>
      </c>
      <c r="J88" s="158">
        <f t="shared" si="2"/>
        <v>0</v>
      </c>
      <c r="K88" s="159"/>
      <c r="L88" s="148">
        <f t="shared" si="3"/>
        <v>0</v>
      </c>
    </row>
    <row r="89" spans="1:12" s="160" customFormat="1" ht="22.2" hidden="1">
      <c r="A89" s="147" t="str">
        <f>[1]XinMoi!A100</f>
        <v>0</v>
      </c>
      <c r="B89" s="156">
        <v>80</v>
      </c>
      <c r="C89" s="99">
        <f>VLOOKUP($B89,[1]XinMoi!$B:$Q,C$9,0)</f>
        <v>0</v>
      </c>
      <c r="D89" s="100">
        <f>VLOOKUP($B89,[1]XinMoi!$B:$Q,D$9,0)</f>
        <v>0</v>
      </c>
      <c r="E89" s="101">
        <f>VLOOKUP($B89,[1]XinMoi!$B:$Q,E$9,0)</f>
        <v>0</v>
      </c>
      <c r="F89" s="102">
        <f>VLOOKUP($B89,[1]XinMoi!$B:$Q,F$9,0)</f>
        <v>0</v>
      </c>
      <c r="G89" s="100">
        <f>VLOOKUP($B89,[1]XinMoi!$B:$Q,G$9,0)</f>
        <v>0</v>
      </c>
      <c r="H89" s="100">
        <f>VLOOKUP($B89,[1]XinMoi!$B:$Q,H$9,0)</f>
        <v>0</v>
      </c>
      <c r="I89" s="157">
        <f>VLOOKUP($B89,[1]XinMoi!$B:$Q,I$9,0)</f>
        <v>0</v>
      </c>
      <c r="J89" s="158">
        <f t="shared" si="2"/>
        <v>0</v>
      </c>
      <c r="K89" s="159"/>
      <c r="L89" s="148">
        <f t="shared" si="3"/>
        <v>0</v>
      </c>
    </row>
    <row r="90" spans="1:12" s="160" customFormat="1" ht="22.2" hidden="1">
      <c r="A90" s="147" t="str">
        <f>[1]XinMoi!A101</f>
        <v>0</v>
      </c>
      <c r="B90" s="156">
        <v>81</v>
      </c>
      <c r="C90" s="99">
        <f>VLOOKUP($B90,[1]XinMoi!$B:$Q,C$9,0)</f>
        <v>0</v>
      </c>
      <c r="D90" s="100">
        <f>VLOOKUP($B90,[1]XinMoi!$B:$Q,D$9,0)</f>
        <v>0</v>
      </c>
      <c r="E90" s="101">
        <f>VLOOKUP($B90,[1]XinMoi!$B:$Q,E$9,0)</f>
        <v>0</v>
      </c>
      <c r="F90" s="102">
        <f>VLOOKUP($B90,[1]XinMoi!$B:$Q,F$9,0)</f>
        <v>0</v>
      </c>
      <c r="G90" s="100">
        <f>VLOOKUP($B90,[1]XinMoi!$B:$Q,G$9,0)</f>
        <v>0</v>
      </c>
      <c r="H90" s="100">
        <f>VLOOKUP($B90,[1]XinMoi!$B:$Q,H$9,0)</f>
        <v>0</v>
      </c>
      <c r="I90" s="157">
        <f>VLOOKUP($B90,[1]XinMoi!$B:$Q,I$9,0)</f>
        <v>0</v>
      </c>
      <c r="J90" s="158">
        <f t="shared" si="2"/>
        <v>0</v>
      </c>
      <c r="K90" s="159"/>
      <c r="L90" s="148">
        <f t="shared" si="3"/>
        <v>0</v>
      </c>
    </row>
    <row r="91" spans="1:12" s="160" customFormat="1" ht="22.2" hidden="1">
      <c r="A91" s="147" t="str">
        <f>[1]XinMoi!A102</f>
        <v>0</v>
      </c>
      <c r="B91" s="156">
        <v>82</v>
      </c>
      <c r="C91" s="99">
        <f>VLOOKUP($B91,[1]XinMoi!$B:$Q,C$9,0)</f>
        <v>0</v>
      </c>
      <c r="D91" s="100">
        <f>VLOOKUP($B91,[1]XinMoi!$B:$Q,D$9,0)</f>
        <v>0</v>
      </c>
      <c r="E91" s="101">
        <f>VLOOKUP($B91,[1]XinMoi!$B:$Q,E$9,0)</f>
        <v>0</v>
      </c>
      <c r="F91" s="102">
        <f>VLOOKUP($B91,[1]XinMoi!$B:$Q,F$9,0)</f>
        <v>0</v>
      </c>
      <c r="G91" s="100">
        <f>VLOOKUP($B91,[1]XinMoi!$B:$Q,G$9,0)</f>
        <v>0</v>
      </c>
      <c r="H91" s="100">
        <f>VLOOKUP($B91,[1]XinMoi!$B:$Q,H$9,0)</f>
        <v>0</v>
      </c>
      <c r="I91" s="157">
        <f>VLOOKUP($B91,[1]XinMoi!$B:$Q,I$9,0)</f>
        <v>0</v>
      </c>
      <c r="J91" s="158">
        <f t="shared" si="2"/>
        <v>0</v>
      </c>
      <c r="K91" s="159"/>
      <c r="L91" s="148">
        <f t="shared" si="3"/>
        <v>0</v>
      </c>
    </row>
    <row r="92" spans="1:12" s="160" customFormat="1" ht="22.2" hidden="1">
      <c r="A92" s="147" t="str">
        <f>[1]XinMoi!A103</f>
        <v>0</v>
      </c>
      <c r="B92" s="156">
        <v>83</v>
      </c>
      <c r="C92" s="99">
        <f>VLOOKUP($B92,[1]XinMoi!$B:$Q,C$9,0)</f>
        <v>0</v>
      </c>
      <c r="D92" s="100">
        <f>VLOOKUP($B92,[1]XinMoi!$B:$Q,D$9,0)</f>
        <v>0</v>
      </c>
      <c r="E92" s="101">
        <f>VLOOKUP($B92,[1]XinMoi!$B:$Q,E$9,0)</f>
        <v>0</v>
      </c>
      <c r="F92" s="102">
        <f>VLOOKUP($B92,[1]XinMoi!$B:$Q,F$9,0)</f>
        <v>0</v>
      </c>
      <c r="G92" s="100">
        <f>VLOOKUP($B92,[1]XinMoi!$B:$Q,G$9,0)</f>
        <v>0</v>
      </c>
      <c r="H92" s="100">
        <f>VLOOKUP($B92,[1]XinMoi!$B:$Q,H$9,0)</f>
        <v>0</v>
      </c>
      <c r="I92" s="157">
        <f>VLOOKUP($B92,[1]XinMoi!$B:$Q,I$9,0)</f>
        <v>0</v>
      </c>
      <c r="J92" s="158">
        <f t="shared" si="2"/>
        <v>0</v>
      </c>
      <c r="K92" s="159"/>
      <c r="L92" s="148">
        <f t="shared" si="3"/>
        <v>0</v>
      </c>
    </row>
    <row r="93" spans="1:12" s="160" customFormat="1" ht="22.2" hidden="1">
      <c r="A93" s="147" t="str">
        <f>[1]XinMoi!A104</f>
        <v>0</v>
      </c>
      <c r="B93" s="156">
        <v>84</v>
      </c>
      <c r="C93" s="99">
        <f>VLOOKUP($B93,[1]XinMoi!$B:$Q,C$9,0)</f>
        <v>0</v>
      </c>
      <c r="D93" s="100">
        <f>VLOOKUP($B93,[1]XinMoi!$B:$Q,D$9,0)</f>
        <v>0</v>
      </c>
      <c r="E93" s="101">
        <f>VLOOKUP($B93,[1]XinMoi!$B:$Q,E$9,0)</f>
        <v>0</v>
      </c>
      <c r="F93" s="102">
        <f>VLOOKUP($B93,[1]XinMoi!$B:$Q,F$9,0)</f>
        <v>0</v>
      </c>
      <c r="G93" s="100">
        <f>VLOOKUP($B93,[1]XinMoi!$B:$Q,G$9,0)</f>
        <v>0</v>
      </c>
      <c r="H93" s="100">
        <f>VLOOKUP($B93,[1]XinMoi!$B:$Q,H$9,0)</f>
        <v>0</v>
      </c>
      <c r="I93" s="157">
        <f>VLOOKUP($B93,[1]XinMoi!$B:$Q,I$9,0)</f>
        <v>0</v>
      </c>
      <c r="J93" s="158">
        <f t="shared" si="2"/>
        <v>0</v>
      </c>
      <c r="K93" s="159"/>
      <c r="L93" s="148">
        <f t="shared" si="3"/>
        <v>0</v>
      </c>
    </row>
    <row r="94" spans="1:12" s="160" customFormat="1" ht="22.2" hidden="1">
      <c r="A94" s="147" t="str">
        <f>[1]XinMoi!A105</f>
        <v>0</v>
      </c>
      <c r="B94" s="156">
        <v>85</v>
      </c>
      <c r="C94" s="99">
        <f>VLOOKUP($B94,[1]XinMoi!$B:$Q,C$9,0)</f>
        <v>0</v>
      </c>
      <c r="D94" s="100">
        <f>VLOOKUP($B94,[1]XinMoi!$B:$Q,D$9,0)</f>
        <v>0</v>
      </c>
      <c r="E94" s="101">
        <f>VLOOKUP($B94,[1]XinMoi!$B:$Q,E$9,0)</f>
        <v>0</v>
      </c>
      <c r="F94" s="102">
        <f>VLOOKUP($B94,[1]XinMoi!$B:$Q,F$9,0)</f>
        <v>0</v>
      </c>
      <c r="G94" s="100">
        <f>VLOOKUP($B94,[1]XinMoi!$B:$Q,G$9,0)</f>
        <v>0</v>
      </c>
      <c r="H94" s="100">
        <f>VLOOKUP($B94,[1]XinMoi!$B:$Q,H$9,0)</f>
        <v>0</v>
      </c>
      <c r="I94" s="157">
        <f>VLOOKUP($B94,[1]XinMoi!$B:$Q,I$9,0)</f>
        <v>0</v>
      </c>
      <c r="J94" s="158">
        <f t="shared" si="2"/>
        <v>0</v>
      </c>
      <c r="K94" s="159"/>
      <c r="L94" s="148">
        <f t="shared" si="3"/>
        <v>0</v>
      </c>
    </row>
    <row r="95" spans="1:12" s="160" customFormat="1" ht="22.2" hidden="1">
      <c r="A95" s="147" t="str">
        <f>[1]XinMoi!A106</f>
        <v>0</v>
      </c>
      <c r="B95" s="156">
        <v>86</v>
      </c>
      <c r="C95" s="99">
        <f>VLOOKUP($B95,[1]XinMoi!$B:$Q,C$9,0)</f>
        <v>0</v>
      </c>
      <c r="D95" s="100">
        <f>VLOOKUP($B95,[1]XinMoi!$B:$Q,D$9,0)</f>
        <v>0</v>
      </c>
      <c r="E95" s="101">
        <f>VLOOKUP($B95,[1]XinMoi!$B:$Q,E$9,0)</f>
        <v>0</v>
      </c>
      <c r="F95" s="102">
        <f>VLOOKUP($B95,[1]XinMoi!$B:$Q,F$9,0)</f>
        <v>0</v>
      </c>
      <c r="G95" s="100">
        <f>VLOOKUP($B95,[1]XinMoi!$B:$Q,G$9,0)</f>
        <v>0</v>
      </c>
      <c r="H95" s="100">
        <f>VLOOKUP($B95,[1]XinMoi!$B:$Q,H$9,0)</f>
        <v>0</v>
      </c>
      <c r="I95" s="157">
        <f>VLOOKUP($B95,[1]XinMoi!$B:$Q,I$9,0)</f>
        <v>0</v>
      </c>
      <c r="J95" s="158">
        <f t="shared" si="2"/>
        <v>0</v>
      </c>
      <c r="K95" s="159"/>
      <c r="L95" s="148">
        <f t="shared" si="3"/>
        <v>0</v>
      </c>
    </row>
    <row r="96" spans="1:12" s="160" customFormat="1" ht="22.2" hidden="1">
      <c r="A96" s="147" t="str">
        <f>[1]XinMoi!A107</f>
        <v>0</v>
      </c>
      <c r="B96" s="156">
        <v>87</v>
      </c>
      <c r="C96" s="99">
        <f>VLOOKUP($B96,[1]XinMoi!$B:$Q,C$9,0)</f>
        <v>0</v>
      </c>
      <c r="D96" s="100">
        <f>VLOOKUP($B96,[1]XinMoi!$B:$Q,D$9,0)</f>
        <v>0</v>
      </c>
      <c r="E96" s="101">
        <f>VLOOKUP($B96,[1]XinMoi!$B:$Q,E$9,0)</f>
        <v>0</v>
      </c>
      <c r="F96" s="102">
        <f>VLOOKUP($B96,[1]XinMoi!$B:$Q,F$9,0)</f>
        <v>0</v>
      </c>
      <c r="G96" s="100">
        <f>VLOOKUP($B96,[1]XinMoi!$B:$Q,G$9,0)</f>
        <v>0</v>
      </c>
      <c r="H96" s="100">
        <f>VLOOKUP($B96,[1]XinMoi!$B:$Q,H$9,0)</f>
        <v>0</v>
      </c>
      <c r="I96" s="157">
        <f>VLOOKUP($B96,[1]XinMoi!$B:$Q,I$9,0)</f>
        <v>0</v>
      </c>
      <c r="J96" s="158">
        <f t="shared" si="2"/>
        <v>0</v>
      </c>
      <c r="K96" s="159"/>
      <c r="L96" s="148">
        <f t="shared" si="3"/>
        <v>0</v>
      </c>
    </row>
    <row r="97" spans="1:12" s="160" customFormat="1" ht="22.2" hidden="1">
      <c r="A97" s="147" t="str">
        <f>[1]XinMoi!A108</f>
        <v>0</v>
      </c>
      <c r="B97" s="156">
        <v>88</v>
      </c>
      <c r="C97" s="99">
        <f>VLOOKUP($B97,[1]XinMoi!$B:$Q,C$9,0)</f>
        <v>0</v>
      </c>
      <c r="D97" s="100">
        <f>VLOOKUP($B97,[1]XinMoi!$B:$Q,D$9,0)</f>
        <v>0</v>
      </c>
      <c r="E97" s="101">
        <f>VLOOKUP($B97,[1]XinMoi!$B:$Q,E$9,0)</f>
        <v>0</v>
      </c>
      <c r="F97" s="102">
        <f>VLOOKUP($B97,[1]XinMoi!$B:$Q,F$9,0)</f>
        <v>0</v>
      </c>
      <c r="G97" s="100">
        <f>VLOOKUP($B97,[1]XinMoi!$B:$Q,G$9,0)</f>
        <v>0</v>
      </c>
      <c r="H97" s="100">
        <f>VLOOKUP($B97,[1]XinMoi!$B:$Q,H$9,0)</f>
        <v>0</v>
      </c>
      <c r="I97" s="157">
        <f>VLOOKUP($B97,[1]XinMoi!$B:$Q,I$9,0)</f>
        <v>0</v>
      </c>
      <c r="J97" s="158">
        <f t="shared" si="2"/>
        <v>0</v>
      </c>
      <c r="K97" s="159"/>
      <c r="L97" s="148">
        <f t="shared" si="3"/>
        <v>0</v>
      </c>
    </row>
    <row r="98" spans="1:12" s="160" customFormat="1" ht="22.2" hidden="1">
      <c r="A98" s="147" t="str">
        <f>[1]XinMoi!A109</f>
        <v>0</v>
      </c>
      <c r="B98" s="156">
        <v>89</v>
      </c>
      <c r="C98" s="99">
        <f>VLOOKUP($B98,[1]XinMoi!$B:$Q,C$9,0)</f>
        <v>0</v>
      </c>
      <c r="D98" s="100">
        <f>VLOOKUP($B98,[1]XinMoi!$B:$Q,D$9,0)</f>
        <v>0</v>
      </c>
      <c r="E98" s="101">
        <f>VLOOKUP($B98,[1]XinMoi!$B:$Q,E$9,0)</f>
        <v>0</v>
      </c>
      <c r="F98" s="102">
        <f>VLOOKUP($B98,[1]XinMoi!$B:$Q,F$9,0)</f>
        <v>0</v>
      </c>
      <c r="G98" s="100">
        <f>VLOOKUP($B98,[1]XinMoi!$B:$Q,G$9,0)</f>
        <v>0</v>
      </c>
      <c r="H98" s="100">
        <f>VLOOKUP($B98,[1]XinMoi!$B:$Q,H$9,0)</f>
        <v>0</v>
      </c>
      <c r="I98" s="157">
        <f>VLOOKUP($B98,[1]XinMoi!$B:$Q,I$9,0)</f>
        <v>0</v>
      </c>
      <c r="J98" s="158">
        <f t="shared" si="2"/>
        <v>0</v>
      </c>
      <c r="K98" s="159"/>
      <c r="L98" s="148">
        <f t="shared" si="3"/>
        <v>0</v>
      </c>
    </row>
    <row r="99" spans="1:12" s="160" customFormat="1" ht="22.2" hidden="1">
      <c r="A99" s="147" t="str">
        <f>[1]XinMoi!A110</f>
        <v>0</v>
      </c>
      <c r="B99" s="156">
        <v>90</v>
      </c>
      <c r="C99" s="99">
        <f>VLOOKUP($B99,[1]XinMoi!$B:$Q,C$9,0)</f>
        <v>0</v>
      </c>
      <c r="D99" s="100">
        <f>VLOOKUP($B99,[1]XinMoi!$B:$Q,D$9,0)</f>
        <v>0</v>
      </c>
      <c r="E99" s="101">
        <f>VLOOKUP($B99,[1]XinMoi!$B:$Q,E$9,0)</f>
        <v>0</v>
      </c>
      <c r="F99" s="102">
        <f>VLOOKUP($B99,[1]XinMoi!$B:$Q,F$9,0)</f>
        <v>0</v>
      </c>
      <c r="G99" s="100">
        <f>VLOOKUP($B99,[1]XinMoi!$B:$Q,G$9,0)</f>
        <v>0</v>
      </c>
      <c r="H99" s="100">
        <f>VLOOKUP($B99,[1]XinMoi!$B:$Q,H$9,0)</f>
        <v>0</v>
      </c>
      <c r="I99" s="157">
        <f>VLOOKUP($B99,[1]XinMoi!$B:$Q,I$9,0)</f>
        <v>0</v>
      </c>
      <c r="J99" s="158">
        <f t="shared" si="2"/>
        <v>0</v>
      </c>
      <c r="K99" s="159"/>
      <c r="L99" s="148">
        <f t="shared" si="3"/>
        <v>0</v>
      </c>
    </row>
    <row r="100" spans="1:12" s="160" customFormat="1" ht="22.2" hidden="1">
      <c r="A100" s="147" t="str">
        <f>[1]XinMoi!A111</f>
        <v>0</v>
      </c>
      <c r="B100" s="156">
        <v>91</v>
      </c>
      <c r="C100" s="99">
        <f>VLOOKUP($B100,[1]XinMoi!$B:$Q,C$9,0)</f>
        <v>0</v>
      </c>
      <c r="D100" s="100">
        <f>VLOOKUP($B100,[1]XinMoi!$B:$Q,D$9,0)</f>
        <v>0</v>
      </c>
      <c r="E100" s="101">
        <f>VLOOKUP($B100,[1]XinMoi!$B:$Q,E$9,0)</f>
        <v>0</v>
      </c>
      <c r="F100" s="102">
        <f>VLOOKUP($B100,[1]XinMoi!$B:$Q,F$9,0)</f>
        <v>0</v>
      </c>
      <c r="G100" s="100">
        <f>VLOOKUP($B100,[1]XinMoi!$B:$Q,G$9,0)</f>
        <v>0</v>
      </c>
      <c r="H100" s="100">
        <f>VLOOKUP($B100,[1]XinMoi!$B:$Q,H$9,0)</f>
        <v>0</v>
      </c>
      <c r="I100" s="157">
        <f>VLOOKUP($B100,[1]XinMoi!$B:$Q,I$9,0)</f>
        <v>0</v>
      </c>
      <c r="J100" s="158">
        <f t="shared" si="2"/>
        <v>0</v>
      </c>
      <c r="K100" s="159"/>
      <c r="L100" s="148">
        <f t="shared" si="3"/>
        <v>0</v>
      </c>
    </row>
    <row r="101" spans="1:12" s="160" customFormat="1" ht="22.2" hidden="1">
      <c r="A101" s="147" t="str">
        <f>[1]XinMoi!A112</f>
        <v>0</v>
      </c>
      <c r="B101" s="156">
        <v>92</v>
      </c>
      <c r="C101" s="99">
        <f>VLOOKUP($B101,[1]XinMoi!$B:$Q,C$9,0)</f>
        <v>0</v>
      </c>
      <c r="D101" s="100">
        <f>VLOOKUP($B101,[1]XinMoi!$B:$Q,D$9,0)</f>
        <v>0</v>
      </c>
      <c r="E101" s="101">
        <f>VLOOKUP($B101,[1]XinMoi!$B:$Q,E$9,0)</f>
        <v>0</v>
      </c>
      <c r="F101" s="102">
        <f>VLOOKUP($B101,[1]XinMoi!$B:$Q,F$9,0)</f>
        <v>0</v>
      </c>
      <c r="G101" s="100">
        <f>VLOOKUP($B101,[1]XinMoi!$B:$Q,G$9,0)</f>
        <v>0</v>
      </c>
      <c r="H101" s="100">
        <f>VLOOKUP($B101,[1]XinMoi!$B:$Q,H$9,0)</f>
        <v>0</v>
      </c>
      <c r="I101" s="157">
        <f>VLOOKUP($B101,[1]XinMoi!$B:$Q,I$9,0)</f>
        <v>0</v>
      </c>
      <c r="J101" s="158">
        <f t="shared" si="2"/>
        <v>0</v>
      </c>
      <c r="K101" s="159"/>
      <c r="L101" s="148">
        <f t="shared" si="3"/>
        <v>0</v>
      </c>
    </row>
    <row r="102" spans="1:12" s="160" customFormat="1" ht="22.2" hidden="1">
      <c r="A102" s="147" t="str">
        <f>[1]XinMoi!A113</f>
        <v>0</v>
      </c>
      <c r="B102" s="156">
        <v>93</v>
      </c>
      <c r="C102" s="99">
        <f>VLOOKUP($B102,[1]XinMoi!$B:$Q,C$9,0)</f>
        <v>0</v>
      </c>
      <c r="D102" s="100">
        <f>VLOOKUP($B102,[1]XinMoi!$B:$Q,D$9,0)</f>
        <v>0</v>
      </c>
      <c r="E102" s="101">
        <f>VLOOKUP($B102,[1]XinMoi!$B:$Q,E$9,0)</f>
        <v>0</v>
      </c>
      <c r="F102" s="102">
        <f>VLOOKUP($B102,[1]XinMoi!$B:$Q,F$9,0)</f>
        <v>0</v>
      </c>
      <c r="G102" s="100">
        <f>VLOOKUP($B102,[1]XinMoi!$B:$Q,G$9,0)</f>
        <v>0</v>
      </c>
      <c r="H102" s="100">
        <f>VLOOKUP($B102,[1]XinMoi!$B:$Q,H$9,0)</f>
        <v>0</v>
      </c>
      <c r="I102" s="157">
        <f>VLOOKUP($B102,[1]XinMoi!$B:$Q,I$9,0)</f>
        <v>0</v>
      </c>
      <c r="J102" s="158">
        <f t="shared" si="2"/>
        <v>0</v>
      </c>
      <c r="K102" s="159"/>
      <c r="L102" s="148">
        <f t="shared" si="3"/>
        <v>0</v>
      </c>
    </row>
    <row r="103" spans="1:12" s="160" customFormat="1" ht="22.2" hidden="1">
      <c r="A103" s="147" t="str">
        <f>[1]XinMoi!A114</f>
        <v>0</v>
      </c>
      <c r="B103" s="156">
        <v>94</v>
      </c>
      <c r="C103" s="99">
        <f>VLOOKUP($B103,[1]XinMoi!$B:$Q,C$9,0)</f>
        <v>0</v>
      </c>
      <c r="D103" s="100">
        <f>VLOOKUP($B103,[1]XinMoi!$B:$Q,D$9,0)</f>
        <v>0</v>
      </c>
      <c r="E103" s="101">
        <f>VLOOKUP($B103,[1]XinMoi!$B:$Q,E$9,0)</f>
        <v>0</v>
      </c>
      <c r="F103" s="102">
        <f>VLOOKUP($B103,[1]XinMoi!$B:$Q,F$9,0)</f>
        <v>0</v>
      </c>
      <c r="G103" s="100">
        <f>VLOOKUP($B103,[1]XinMoi!$B:$Q,G$9,0)</f>
        <v>0</v>
      </c>
      <c r="H103" s="100">
        <f>VLOOKUP($B103,[1]XinMoi!$B:$Q,H$9,0)</f>
        <v>0</v>
      </c>
      <c r="I103" s="157">
        <f>VLOOKUP($B103,[1]XinMoi!$B:$Q,I$9,0)</f>
        <v>0</v>
      </c>
      <c r="J103" s="158">
        <f t="shared" si="2"/>
        <v>0</v>
      </c>
      <c r="K103" s="159"/>
      <c r="L103" s="148">
        <f t="shared" si="3"/>
        <v>0</v>
      </c>
    </row>
    <row r="104" spans="1:12" s="160" customFormat="1" ht="22.2" hidden="1">
      <c r="A104" s="147" t="str">
        <f>[1]XinMoi!A115</f>
        <v>0</v>
      </c>
      <c r="B104" s="156">
        <v>95</v>
      </c>
      <c r="C104" s="99">
        <f>VLOOKUP($B104,[1]XinMoi!$B:$Q,C$9,0)</f>
        <v>0</v>
      </c>
      <c r="D104" s="100">
        <f>VLOOKUP($B104,[1]XinMoi!$B:$Q,D$9,0)</f>
        <v>0</v>
      </c>
      <c r="E104" s="101">
        <f>VLOOKUP($B104,[1]XinMoi!$B:$Q,E$9,0)</f>
        <v>0</v>
      </c>
      <c r="F104" s="102">
        <f>VLOOKUP($B104,[1]XinMoi!$B:$Q,F$9,0)</f>
        <v>0</v>
      </c>
      <c r="G104" s="100">
        <f>VLOOKUP($B104,[1]XinMoi!$B:$Q,G$9,0)</f>
        <v>0</v>
      </c>
      <c r="H104" s="100">
        <f>VLOOKUP($B104,[1]XinMoi!$B:$Q,H$9,0)</f>
        <v>0</v>
      </c>
      <c r="I104" s="157">
        <f>VLOOKUP($B104,[1]XinMoi!$B:$Q,I$9,0)</f>
        <v>0</v>
      </c>
      <c r="J104" s="158">
        <f t="shared" si="2"/>
        <v>0</v>
      </c>
      <c r="K104" s="159"/>
      <c r="L104" s="148">
        <f t="shared" si="3"/>
        <v>0</v>
      </c>
    </row>
    <row r="105" spans="1:12" s="160" customFormat="1" ht="22.2" hidden="1">
      <c r="A105" s="147" t="str">
        <f>[1]XinMoi!A116</f>
        <v>0</v>
      </c>
      <c r="B105" s="156">
        <v>96</v>
      </c>
      <c r="C105" s="99">
        <f>VLOOKUP($B105,[1]XinMoi!$B:$Q,C$9,0)</f>
        <v>0</v>
      </c>
      <c r="D105" s="100">
        <f>VLOOKUP($B105,[1]XinMoi!$B:$Q,D$9,0)</f>
        <v>0</v>
      </c>
      <c r="E105" s="101">
        <f>VLOOKUP($B105,[1]XinMoi!$B:$Q,E$9,0)</f>
        <v>0</v>
      </c>
      <c r="F105" s="102">
        <f>VLOOKUP($B105,[1]XinMoi!$B:$Q,F$9,0)</f>
        <v>0</v>
      </c>
      <c r="G105" s="100">
        <f>VLOOKUP($B105,[1]XinMoi!$B:$Q,G$9,0)</f>
        <v>0</v>
      </c>
      <c r="H105" s="100">
        <f>VLOOKUP($B105,[1]XinMoi!$B:$Q,H$9,0)</f>
        <v>0</v>
      </c>
      <c r="I105" s="157">
        <f>VLOOKUP($B105,[1]XinMoi!$B:$Q,I$9,0)</f>
        <v>0</v>
      </c>
      <c r="J105" s="158">
        <f t="shared" si="2"/>
        <v>0</v>
      </c>
      <c r="K105" s="159"/>
      <c r="L105" s="148">
        <f t="shared" si="3"/>
        <v>0</v>
      </c>
    </row>
    <row r="106" spans="1:12" s="160" customFormat="1" ht="22.2" hidden="1">
      <c r="A106" s="147" t="str">
        <f>[1]XinMoi!A117</f>
        <v>0</v>
      </c>
      <c r="B106" s="156">
        <v>97</v>
      </c>
      <c r="C106" s="99">
        <f>VLOOKUP($B106,[1]XinMoi!$B:$Q,C$9,0)</f>
        <v>0</v>
      </c>
      <c r="D106" s="100">
        <f>VLOOKUP($B106,[1]XinMoi!$B:$Q,D$9,0)</f>
        <v>0</v>
      </c>
      <c r="E106" s="101">
        <f>VLOOKUP($B106,[1]XinMoi!$B:$Q,E$9,0)</f>
        <v>0</v>
      </c>
      <c r="F106" s="102">
        <f>VLOOKUP($B106,[1]XinMoi!$B:$Q,F$9,0)</f>
        <v>0</v>
      </c>
      <c r="G106" s="100">
        <f>VLOOKUP($B106,[1]XinMoi!$B:$Q,G$9,0)</f>
        <v>0</v>
      </c>
      <c r="H106" s="100">
        <f>VLOOKUP($B106,[1]XinMoi!$B:$Q,H$9,0)</f>
        <v>0</v>
      </c>
      <c r="I106" s="157">
        <f>VLOOKUP($B106,[1]XinMoi!$B:$Q,I$9,0)</f>
        <v>0</v>
      </c>
      <c r="J106" s="158">
        <f t="shared" si="2"/>
        <v>0</v>
      </c>
      <c r="K106" s="159"/>
      <c r="L106" s="148">
        <f t="shared" si="3"/>
        <v>0</v>
      </c>
    </row>
    <row r="107" spans="1:12" s="160" customFormat="1" ht="22.2" hidden="1">
      <c r="A107" s="147" t="str">
        <f>[1]XinMoi!A118</f>
        <v>0</v>
      </c>
      <c r="B107" s="156">
        <v>98</v>
      </c>
      <c r="C107" s="99">
        <f>VLOOKUP($B107,[1]XinMoi!$B:$Q,C$9,0)</f>
        <v>0</v>
      </c>
      <c r="D107" s="100">
        <f>VLOOKUP($B107,[1]XinMoi!$B:$Q,D$9,0)</f>
        <v>0</v>
      </c>
      <c r="E107" s="101">
        <f>VLOOKUP($B107,[1]XinMoi!$B:$Q,E$9,0)</f>
        <v>0</v>
      </c>
      <c r="F107" s="102">
        <f>VLOOKUP($B107,[1]XinMoi!$B:$Q,F$9,0)</f>
        <v>0</v>
      </c>
      <c r="G107" s="100">
        <f>VLOOKUP($B107,[1]XinMoi!$B:$Q,G$9,0)</f>
        <v>0</v>
      </c>
      <c r="H107" s="100">
        <f>VLOOKUP($B107,[1]XinMoi!$B:$Q,H$9,0)</f>
        <v>0</v>
      </c>
      <c r="I107" s="157">
        <f>VLOOKUP($B107,[1]XinMoi!$B:$Q,I$9,0)</f>
        <v>0</v>
      </c>
      <c r="J107" s="158">
        <f t="shared" si="2"/>
        <v>0</v>
      </c>
      <c r="K107" s="159"/>
      <c r="L107" s="148">
        <f t="shared" si="3"/>
        <v>0</v>
      </c>
    </row>
    <row r="108" spans="1:12" s="160" customFormat="1" ht="22.2" hidden="1">
      <c r="A108" s="147" t="str">
        <f>[1]XinMoi!A119</f>
        <v>0</v>
      </c>
      <c r="B108" s="156">
        <v>99</v>
      </c>
      <c r="C108" s="99">
        <f>VLOOKUP($B108,[1]XinMoi!$B:$Q,C$9,0)</f>
        <v>0</v>
      </c>
      <c r="D108" s="100">
        <f>VLOOKUP($B108,[1]XinMoi!$B:$Q,D$9,0)</f>
        <v>0</v>
      </c>
      <c r="E108" s="101">
        <f>VLOOKUP($B108,[1]XinMoi!$B:$Q,E$9,0)</f>
        <v>0</v>
      </c>
      <c r="F108" s="102">
        <f>VLOOKUP($B108,[1]XinMoi!$B:$Q,F$9,0)</f>
        <v>0</v>
      </c>
      <c r="G108" s="100">
        <f>VLOOKUP($B108,[1]XinMoi!$B:$Q,G$9,0)</f>
        <v>0</v>
      </c>
      <c r="H108" s="100">
        <f>VLOOKUP($B108,[1]XinMoi!$B:$Q,H$9,0)</f>
        <v>0</v>
      </c>
      <c r="I108" s="157">
        <f>VLOOKUP($B108,[1]XinMoi!$B:$Q,I$9,0)</f>
        <v>0</v>
      </c>
      <c r="J108" s="158">
        <f t="shared" si="2"/>
        <v>0</v>
      </c>
      <c r="K108" s="159"/>
      <c r="L108" s="148">
        <f t="shared" si="3"/>
        <v>0</v>
      </c>
    </row>
    <row r="109" spans="1:12" s="160" customFormat="1" ht="22.2" hidden="1">
      <c r="A109" s="147" t="str">
        <f>[1]XinMoi!A120</f>
        <v>0</v>
      </c>
      <c r="B109" s="156">
        <v>100</v>
      </c>
      <c r="C109" s="99">
        <f>VLOOKUP($B109,[1]XinMoi!$B:$Q,C$9,0)</f>
        <v>0</v>
      </c>
      <c r="D109" s="100">
        <f>VLOOKUP($B109,[1]XinMoi!$B:$Q,D$9,0)</f>
        <v>0</v>
      </c>
      <c r="E109" s="101">
        <f>VLOOKUP($B109,[1]XinMoi!$B:$Q,E$9,0)</f>
        <v>0</v>
      </c>
      <c r="F109" s="102">
        <f>VLOOKUP($B109,[1]XinMoi!$B:$Q,F$9,0)</f>
        <v>0</v>
      </c>
      <c r="G109" s="100">
        <f>VLOOKUP($B109,[1]XinMoi!$B:$Q,G$9,0)</f>
        <v>0</v>
      </c>
      <c r="H109" s="100">
        <f>VLOOKUP($B109,[1]XinMoi!$B:$Q,H$9,0)</f>
        <v>0</v>
      </c>
      <c r="I109" s="157">
        <f>VLOOKUP($B109,[1]XinMoi!$B:$Q,I$9,0)</f>
        <v>0</v>
      </c>
      <c r="J109" s="158">
        <f t="shared" si="2"/>
        <v>0</v>
      </c>
      <c r="K109" s="159"/>
      <c r="L109" s="148">
        <f t="shared" si="3"/>
        <v>0</v>
      </c>
    </row>
    <row r="110" spans="1:12" s="160" customFormat="1" ht="22.2" hidden="1">
      <c r="A110" s="147" t="str">
        <f>[1]XinMoi!A121</f>
        <v>0</v>
      </c>
      <c r="B110" s="156">
        <v>101</v>
      </c>
      <c r="C110" s="99">
        <f>VLOOKUP($B110,[1]XinMoi!$B:$Q,C$9,0)</f>
        <v>0</v>
      </c>
      <c r="D110" s="100">
        <f>VLOOKUP($B110,[1]XinMoi!$B:$Q,D$9,0)</f>
        <v>0</v>
      </c>
      <c r="E110" s="101">
        <f>VLOOKUP($B110,[1]XinMoi!$B:$Q,E$9,0)</f>
        <v>0</v>
      </c>
      <c r="F110" s="102">
        <f>VLOOKUP($B110,[1]XinMoi!$B:$Q,F$9,0)</f>
        <v>0</v>
      </c>
      <c r="G110" s="100">
        <f>VLOOKUP($B110,[1]XinMoi!$B:$Q,G$9,0)</f>
        <v>0</v>
      </c>
      <c r="H110" s="100">
        <f>VLOOKUP($B110,[1]XinMoi!$B:$Q,H$9,0)</f>
        <v>0</v>
      </c>
      <c r="I110" s="157">
        <f>VLOOKUP($B110,[1]XinMoi!$B:$Q,I$9,0)</f>
        <v>0</v>
      </c>
      <c r="J110" s="158">
        <f t="shared" si="2"/>
        <v>0</v>
      </c>
      <c r="K110" s="159"/>
      <c r="L110" s="148">
        <f t="shared" si="3"/>
        <v>0</v>
      </c>
    </row>
    <row r="111" spans="1:12" s="160" customFormat="1" ht="22.2" hidden="1">
      <c r="A111" s="147" t="str">
        <f>[1]XinMoi!A122</f>
        <v>96</v>
      </c>
      <c r="B111" s="156">
        <v>102</v>
      </c>
      <c r="C111" s="99">
        <f>VLOOKUP($B111,[1]XinMoi!$B:$Q,C$9,0)</f>
        <v>0</v>
      </c>
      <c r="D111" s="100">
        <f>VLOOKUP($B111,[1]XinMoi!$B:$Q,D$9,0)</f>
        <v>0</v>
      </c>
      <c r="E111" s="101">
        <f>VLOOKUP($B111,[1]XinMoi!$B:$Q,E$9,0)</f>
        <v>0</v>
      </c>
      <c r="F111" s="102">
        <f>VLOOKUP($B111,[1]XinMoi!$B:$Q,F$9,0)</f>
        <v>0</v>
      </c>
      <c r="G111" s="100">
        <f>VLOOKUP($B111,[1]XinMoi!$B:$Q,G$9,0)</f>
        <v>0</v>
      </c>
      <c r="H111" s="100">
        <f>VLOOKUP($B111,[1]XinMoi!$B:$Q,H$9,0)</f>
        <v>0</v>
      </c>
      <c r="I111" s="157">
        <f>VLOOKUP($B111,[1]XinMoi!$B:$Q,I$9,0)</f>
        <v>0</v>
      </c>
      <c r="J111" s="158">
        <f t="shared" si="2"/>
        <v>0</v>
      </c>
      <c r="K111" s="159"/>
      <c r="L111" s="148">
        <f t="shared" si="3"/>
        <v>0</v>
      </c>
    </row>
    <row r="112" spans="1:12" s="160" customFormat="1" ht="22.2" hidden="1">
      <c r="A112" s="147" t="str">
        <f>[1]XinMoi!A123</f>
        <v>97</v>
      </c>
      <c r="B112" s="156">
        <v>103</v>
      </c>
      <c r="C112" s="99">
        <f>VLOOKUP($B112,[1]XinMoi!$B:$Q,C$9,0)</f>
        <v>0</v>
      </c>
      <c r="D112" s="100">
        <f>VLOOKUP($B112,[1]XinMoi!$B:$Q,D$9,0)</f>
        <v>0</v>
      </c>
      <c r="E112" s="101">
        <f>VLOOKUP($B112,[1]XinMoi!$B:$Q,E$9,0)</f>
        <v>0</v>
      </c>
      <c r="F112" s="102">
        <f>VLOOKUP($B112,[1]XinMoi!$B:$Q,F$9,0)</f>
        <v>0</v>
      </c>
      <c r="G112" s="100">
        <f>VLOOKUP($B112,[1]XinMoi!$B:$Q,G$9,0)</f>
        <v>0</v>
      </c>
      <c r="H112" s="100">
        <f>VLOOKUP($B112,[1]XinMoi!$B:$Q,H$9,0)</f>
        <v>0</v>
      </c>
      <c r="I112" s="157">
        <f>VLOOKUP($B112,[1]XinMoi!$B:$Q,I$9,0)</f>
        <v>0</v>
      </c>
      <c r="J112" s="158">
        <f t="shared" si="2"/>
        <v>0</v>
      </c>
      <c r="K112" s="159"/>
      <c r="L112" s="148">
        <f t="shared" si="3"/>
        <v>0</v>
      </c>
    </row>
    <row r="113" spans="1:12" s="160" customFormat="1" ht="22.2" hidden="1">
      <c r="A113" s="147" t="str">
        <f>[1]XinMoi!A124</f>
        <v>98</v>
      </c>
      <c r="B113" s="156">
        <v>104</v>
      </c>
      <c r="C113" s="99">
        <f>VLOOKUP($B113,[1]XinMoi!$B:$Q,C$9,0)</f>
        <v>0</v>
      </c>
      <c r="D113" s="100">
        <f>VLOOKUP($B113,[1]XinMoi!$B:$Q,D$9,0)</f>
        <v>0</v>
      </c>
      <c r="E113" s="101">
        <f>VLOOKUP($B113,[1]XinMoi!$B:$Q,E$9,0)</f>
        <v>0</v>
      </c>
      <c r="F113" s="102">
        <f>VLOOKUP($B113,[1]XinMoi!$B:$Q,F$9,0)</f>
        <v>0</v>
      </c>
      <c r="G113" s="100">
        <f>VLOOKUP($B113,[1]XinMoi!$B:$Q,G$9,0)</f>
        <v>0</v>
      </c>
      <c r="H113" s="100">
        <f>VLOOKUP($B113,[1]XinMoi!$B:$Q,H$9,0)</f>
        <v>0</v>
      </c>
      <c r="I113" s="157">
        <f>VLOOKUP($B113,[1]XinMoi!$B:$Q,I$9,0)</f>
        <v>0</v>
      </c>
      <c r="J113" s="158">
        <f t="shared" si="2"/>
        <v>0</v>
      </c>
      <c r="K113" s="159"/>
      <c r="L113" s="148">
        <f t="shared" si="3"/>
        <v>0</v>
      </c>
    </row>
    <row r="114" spans="1:12" s="160" customFormat="1" ht="22.2" hidden="1">
      <c r="A114" s="147" t="str">
        <f>[1]XinMoi!A125</f>
        <v>99</v>
      </c>
      <c r="B114" s="156">
        <v>105</v>
      </c>
      <c r="C114" s="99">
        <f>VLOOKUP($B114,[1]XinMoi!$B:$Q,C$9,0)</f>
        <v>0</v>
      </c>
      <c r="D114" s="100">
        <f>VLOOKUP($B114,[1]XinMoi!$B:$Q,D$9,0)</f>
        <v>0</v>
      </c>
      <c r="E114" s="101">
        <f>VLOOKUP($B114,[1]XinMoi!$B:$Q,E$9,0)</f>
        <v>0</v>
      </c>
      <c r="F114" s="102">
        <f>VLOOKUP($B114,[1]XinMoi!$B:$Q,F$9,0)</f>
        <v>0</v>
      </c>
      <c r="G114" s="100">
        <f>VLOOKUP($B114,[1]XinMoi!$B:$Q,G$9,0)</f>
        <v>0</v>
      </c>
      <c r="H114" s="100">
        <f>VLOOKUP($B114,[1]XinMoi!$B:$Q,H$9,0)</f>
        <v>0</v>
      </c>
      <c r="I114" s="157">
        <f>VLOOKUP($B114,[1]XinMoi!$B:$Q,I$9,0)</f>
        <v>0</v>
      </c>
      <c r="J114" s="158">
        <f t="shared" si="2"/>
        <v>0</v>
      </c>
      <c r="K114" s="159"/>
      <c r="L114" s="148">
        <f t="shared" si="3"/>
        <v>0</v>
      </c>
    </row>
    <row r="115" spans="1:12" s="160" customFormat="1" ht="22.2" hidden="1">
      <c r="A115" s="147" t="str">
        <f>[1]XinMoi!A126</f>
        <v>100</v>
      </c>
      <c r="B115" s="156">
        <v>106</v>
      </c>
      <c r="C115" s="99">
        <f>VLOOKUP($B115,[1]XinMoi!$B:$Q,C$9,0)</f>
        <v>0</v>
      </c>
      <c r="D115" s="100">
        <f>VLOOKUP($B115,[1]XinMoi!$B:$Q,D$9,0)</f>
        <v>0</v>
      </c>
      <c r="E115" s="101">
        <f>VLOOKUP($B115,[1]XinMoi!$B:$Q,E$9,0)</f>
        <v>0</v>
      </c>
      <c r="F115" s="102">
        <f>VLOOKUP($B115,[1]XinMoi!$B:$Q,F$9,0)</f>
        <v>0</v>
      </c>
      <c r="G115" s="100">
        <f>VLOOKUP($B115,[1]XinMoi!$B:$Q,G$9,0)</f>
        <v>0</v>
      </c>
      <c r="H115" s="100">
        <f>VLOOKUP($B115,[1]XinMoi!$B:$Q,H$9,0)</f>
        <v>0</v>
      </c>
      <c r="I115" s="157">
        <f>VLOOKUP($B115,[1]XinMoi!$B:$Q,I$9,0)</f>
        <v>0</v>
      </c>
      <c r="J115" s="158">
        <f t="shared" si="2"/>
        <v>0</v>
      </c>
      <c r="K115" s="159"/>
      <c r="L115" s="148">
        <f t="shared" si="3"/>
        <v>0</v>
      </c>
    </row>
    <row r="116" spans="1:12" s="160" customFormat="1" ht="22.2" hidden="1">
      <c r="A116" s="147" t="str">
        <f>[1]XinMoi!A127</f>
        <v>101</v>
      </c>
      <c r="B116" s="156">
        <v>107</v>
      </c>
      <c r="C116" s="99">
        <f>VLOOKUP($B116,[1]XinMoi!$B:$Q,C$9,0)</f>
        <v>0</v>
      </c>
      <c r="D116" s="100">
        <f>VLOOKUP($B116,[1]XinMoi!$B:$Q,D$9,0)</f>
        <v>0</v>
      </c>
      <c r="E116" s="101">
        <f>VLOOKUP($B116,[1]XinMoi!$B:$Q,E$9,0)</f>
        <v>0</v>
      </c>
      <c r="F116" s="102">
        <f>VLOOKUP($B116,[1]XinMoi!$B:$Q,F$9,0)</f>
        <v>0</v>
      </c>
      <c r="G116" s="100">
        <f>VLOOKUP($B116,[1]XinMoi!$B:$Q,G$9,0)</f>
        <v>0</v>
      </c>
      <c r="H116" s="100">
        <f>VLOOKUP($B116,[1]XinMoi!$B:$Q,H$9,0)</f>
        <v>0</v>
      </c>
      <c r="I116" s="157">
        <f>VLOOKUP($B116,[1]XinMoi!$B:$Q,I$9,0)</f>
        <v>0</v>
      </c>
      <c r="J116" s="158">
        <f t="shared" si="2"/>
        <v>0</v>
      </c>
      <c r="K116" s="159"/>
      <c r="L116" s="148">
        <f t="shared" si="3"/>
        <v>0</v>
      </c>
    </row>
    <row r="117" spans="1:12" s="160" customFormat="1" ht="22.2" hidden="1">
      <c r="A117" s="147" t="str">
        <f>[1]XinMoi!A128</f>
        <v>102</v>
      </c>
      <c r="B117" s="156">
        <v>108</v>
      </c>
      <c r="C117" s="99">
        <f>VLOOKUP($B117,[1]XinMoi!$B:$Q,C$9,0)</f>
        <v>0</v>
      </c>
      <c r="D117" s="100">
        <f>VLOOKUP($B117,[1]XinMoi!$B:$Q,D$9,0)</f>
        <v>0</v>
      </c>
      <c r="E117" s="101">
        <f>VLOOKUP($B117,[1]XinMoi!$B:$Q,E$9,0)</f>
        <v>0</v>
      </c>
      <c r="F117" s="102">
        <f>VLOOKUP($B117,[1]XinMoi!$B:$Q,F$9,0)</f>
        <v>0</v>
      </c>
      <c r="G117" s="100">
        <f>VLOOKUP($B117,[1]XinMoi!$B:$Q,G$9,0)</f>
        <v>0</v>
      </c>
      <c r="H117" s="100">
        <f>VLOOKUP($B117,[1]XinMoi!$B:$Q,H$9,0)</f>
        <v>0</v>
      </c>
      <c r="I117" s="157">
        <f>VLOOKUP($B117,[1]XinMoi!$B:$Q,I$9,0)</f>
        <v>0</v>
      </c>
      <c r="J117" s="158">
        <f t="shared" si="2"/>
        <v>0</v>
      </c>
      <c r="K117" s="159"/>
      <c r="L117" s="148">
        <f t="shared" si="3"/>
        <v>0</v>
      </c>
    </row>
    <row r="118" spans="1:12" s="160" customFormat="1" ht="22.2" hidden="1">
      <c r="A118" s="147" t="str">
        <f>[1]XinMoi!A129</f>
        <v>103</v>
      </c>
      <c r="B118" s="156">
        <v>109</v>
      </c>
      <c r="C118" s="99">
        <f>VLOOKUP($B118,[1]XinMoi!$B:$Q,C$9,0)</f>
        <v>0</v>
      </c>
      <c r="D118" s="100">
        <f>VLOOKUP($B118,[1]XinMoi!$B:$Q,D$9,0)</f>
        <v>0</v>
      </c>
      <c r="E118" s="101">
        <f>VLOOKUP($B118,[1]XinMoi!$B:$Q,E$9,0)</f>
        <v>0</v>
      </c>
      <c r="F118" s="102">
        <f>VLOOKUP($B118,[1]XinMoi!$B:$Q,F$9,0)</f>
        <v>0</v>
      </c>
      <c r="G118" s="100">
        <f>VLOOKUP($B118,[1]XinMoi!$B:$Q,G$9,0)</f>
        <v>0</v>
      </c>
      <c r="H118" s="100">
        <f>VLOOKUP($B118,[1]XinMoi!$B:$Q,H$9,0)</f>
        <v>0</v>
      </c>
      <c r="I118" s="157">
        <f>VLOOKUP($B118,[1]XinMoi!$B:$Q,I$9,0)</f>
        <v>0</v>
      </c>
      <c r="J118" s="158">
        <f t="shared" si="2"/>
        <v>0</v>
      </c>
      <c r="K118" s="159"/>
      <c r="L118" s="148">
        <f t="shared" si="3"/>
        <v>0</v>
      </c>
    </row>
    <row r="119" spans="1:12" s="160" customFormat="1" ht="22.2" hidden="1">
      <c r="A119" s="147" t="str">
        <f>[1]XinMoi!A130</f>
        <v>104</v>
      </c>
      <c r="B119" s="156">
        <v>110</v>
      </c>
      <c r="C119" s="99">
        <f>VLOOKUP($B119,[1]XinMoi!$B:$Q,C$9,0)</f>
        <v>0</v>
      </c>
      <c r="D119" s="100">
        <f>VLOOKUP($B119,[1]XinMoi!$B:$Q,D$9,0)</f>
        <v>0</v>
      </c>
      <c r="E119" s="101">
        <f>VLOOKUP($B119,[1]XinMoi!$B:$Q,E$9,0)</f>
        <v>0</v>
      </c>
      <c r="F119" s="102">
        <f>VLOOKUP($B119,[1]XinMoi!$B:$Q,F$9,0)</f>
        <v>0</v>
      </c>
      <c r="G119" s="100">
        <f>VLOOKUP($B119,[1]XinMoi!$B:$Q,G$9,0)</f>
        <v>0</v>
      </c>
      <c r="H119" s="100">
        <f>VLOOKUP($B119,[1]XinMoi!$B:$Q,H$9,0)</f>
        <v>0</v>
      </c>
      <c r="I119" s="157">
        <f>VLOOKUP($B119,[1]XinMoi!$B:$Q,I$9,0)</f>
        <v>0</v>
      </c>
      <c r="J119" s="158">
        <f t="shared" si="2"/>
        <v>0</v>
      </c>
      <c r="K119" s="159"/>
      <c r="L119" s="148">
        <f t="shared" si="3"/>
        <v>0</v>
      </c>
    </row>
    <row r="120" spans="1:12" s="160" customFormat="1" ht="22.2" hidden="1">
      <c r="A120" s="147" t="str">
        <f>[1]XinMoi!A131</f>
        <v>105</v>
      </c>
      <c r="B120" s="156">
        <v>111</v>
      </c>
      <c r="C120" s="99">
        <f>VLOOKUP($B120,[1]XinMoi!$B:$Q,C$9,0)</f>
        <v>0</v>
      </c>
      <c r="D120" s="100">
        <f>VLOOKUP($B120,[1]XinMoi!$B:$Q,D$9,0)</f>
        <v>0</v>
      </c>
      <c r="E120" s="101">
        <f>VLOOKUP($B120,[1]XinMoi!$B:$Q,E$9,0)</f>
        <v>0</v>
      </c>
      <c r="F120" s="102">
        <f>VLOOKUP($B120,[1]XinMoi!$B:$Q,F$9,0)</f>
        <v>0</v>
      </c>
      <c r="G120" s="100">
        <f>VLOOKUP($B120,[1]XinMoi!$B:$Q,G$9,0)</f>
        <v>0</v>
      </c>
      <c r="H120" s="100">
        <f>VLOOKUP($B120,[1]XinMoi!$B:$Q,H$9,0)</f>
        <v>0</v>
      </c>
      <c r="I120" s="157">
        <f>VLOOKUP($B120,[1]XinMoi!$B:$Q,I$9,0)</f>
        <v>0</v>
      </c>
      <c r="J120" s="158">
        <f t="shared" si="2"/>
        <v>0</v>
      </c>
      <c r="K120" s="159"/>
      <c r="L120" s="148">
        <f t="shared" si="3"/>
        <v>0</v>
      </c>
    </row>
    <row r="121" spans="1:12" s="160" customFormat="1" ht="22.2" hidden="1">
      <c r="A121" s="147" t="str">
        <f>[1]XinMoi!A132</f>
        <v>106</v>
      </c>
      <c r="B121" s="156">
        <v>112</v>
      </c>
      <c r="C121" s="99">
        <f>VLOOKUP($B121,[1]XinMoi!$B:$Q,C$9,0)</f>
        <v>0</v>
      </c>
      <c r="D121" s="100">
        <f>VLOOKUP($B121,[1]XinMoi!$B:$Q,D$9,0)</f>
        <v>0</v>
      </c>
      <c r="E121" s="101">
        <f>VLOOKUP($B121,[1]XinMoi!$B:$Q,E$9,0)</f>
        <v>0</v>
      </c>
      <c r="F121" s="102">
        <f>VLOOKUP($B121,[1]XinMoi!$B:$Q,F$9,0)</f>
        <v>0</v>
      </c>
      <c r="G121" s="100">
        <f>VLOOKUP($B121,[1]XinMoi!$B:$Q,G$9,0)</f>
        <v>0</v>
      </c>
      <c r="H121" s="100">
        <f>VLOOKUP($B121,[1]XinMoi!$B:$Q,H$9,0)</f>
        <v>0</v>
      </c>
      <c r="I121" s="157">
        <f>VLOOKUP($B121,[1]XinMoi!$B:$Q,I$9,0)</f>
        <v>0</v>
      </c>
      <c r="J121" s="158">
        <f t="shared" si="2"/>
        <v>0</v>
      </c>
      <c r="K121" s="159"/>
      <c r="L121" s="148">
        <f t="shared" si="3"/>
        <v>0</v>
      </c>
    </row>
    <row r="122" spans="1:12" s="160" customFormat="1" ht="22.2" hidden="1">
      <c r="A122" s="147" t="str">
        <f>[1]XinMoi!A133</f>
        <v>107</v>
      </c>
      <c r="B122" s="156">
        <v>113</v>
      </c>
      <c r="C122" s="99">
        <f>VLOOKUP($B122,[1]XinMoi!$B:$Q,C$9,0)</f>
        <v>0</v>
      </c>
      <c r="D122" s="100">
        <f>VLOOKUP($B122,[1]XinMoi!$B:$Q,D$9,0)</f>
        <v>0</v>
      </c>
      <c r="E122" s="101">
        <f>VLOOKUP($B122,[1]XinMoi!$B:$Q,E$9,0)</f>
        <v>0</v>
      </c>
      <c r="F122" s="102">
        <f>VLOOKUP($B122,[1]XinMoi!$B:$Q,F$9,0)</f>
        <v>0</v>
      </c>
      <c r="G122" s="100">
        <f>VLOOKUP($B122,[1]XinMoi!$B:$Q,G$9,0)</f>
        <v>0</v>
      </c>
      <c r="H122" s="100">
        <f>VLOOKUP($B122,[1]XinMoi!$B:$Q,H$9,0)</f>
        <v>0</v>
      </c>
      <c r="I122" s="157">
        <f>VLOOKUP($B122,[1]XinMoi!$B:$Q,I$9,0)</f>
        <v>0</v>
      </c>
      <c r="J122" s="158">
        <f t="shared" si="2"/>
        <v>0</v>
      </c>
      <c r="K122" s="159"/>
      <c r="L122" s="148">
        <f t="shared" si="3"/>
        <v>0</v>
      </c>
    </row>
    <row r="123" spans="1:12" s="160" customFormat="1" ht="22.2" hidden="1">
      <c r="A123" s="147" t="str">
        <f>[1]XinMoi!A134</f>
        <v>108</v>
      </c>
      <c r="B123" s="156">
        <v>114</v>
      </c>
      <c r="C123" s="99">
        <f>VLOOKUP($B123,[1]XinMoi!$B:$Q,C$9,0)</f>
        <v>0</v>
      </c>
      <c r="D123" s="100">
        <f>VLOOKUP($B123,[1]XinMoi!$B:$Q,D$9,0)</f>
        <v>0</v>
      </c>
      <c r="E123" s="101">
        <f>VLOOKUP($B123,[1]XinMoi!$B:$Q,E$9,0)</f>
        <v>0</v>
      </c>
      <c r="F123" s="102">
        <f>VLOOKUP($B123,[1]XinMoi!$B:$Q,F$9,0)</f>
        <v>0</v>
      </c>
      <c r="G123" s="100">
        <f>VLOOKUP($B123,[1]XinMoi!$B:$Q,G$9,0)</f>
        <v>0</v>
      </c>
      <c r="H123" s="100">
        <f>VLOOKUP($B123,[1]XinMoi!$B:$Q,H$9,0)</f>
        <v>0</v>
      </c>
      <c r="I123" s="157">
        <f>VLOOKUP($B123,[1]XinMoi!$B:$Q,I$9,0)</f>
        <v>0</v>
      </c>
      <c r="J123" s="158">
        <f t="shared" si="2"/>
        <v>0</v>
      </c>
      <c r="K123" s="159"/>
      <c r="L123" s="148">
        <f t="shared" si="3"/>
        <v>0</v>
      </c>
    </row>
    <row r="124" spans="1:12" s="160" customFormat="1" ht="22.2" hidden="1">
      <c r="A124" s="147" t="str">
        <f>[1]XinMoi!A135</f>
        <v>109</v>
      </c>
      <c r="B124" s="156">
        <v>115</v>
      </c>
      <c r="C124" s="99">
        <f>VLOOKUP($B124,[1]XinMoi!$B:$Q,C$9,0)</f>
        <v>0</v>
      </c>
      <c r="D124" s="100">
        <f>VLOOKUP($B124,[1]XinMoi!$B:$Q,D$9,0)</f>
        <v>0</v>
      </c>
      <c r="E124" s="101">
        <f>VLOOKUP($B124,[1]XinMoi!$B:$Q,E$9,0)</f>
        <v>0</v>
      </c>
      <c r="F124" s="102">
        <f>VLOOKUP($B124,[1]XinMoi!$B:$Q,F$9,0)</f>
        <v>0</v>
      </c>
      <c r="G124" s="100">
        <f>VLOOKUP($B124,[1]XinMoi!$B:$Q,G$9,0)</f>
        <v>0</v>
      </c>
      <c r="H124" s="100">
        <f>VLOOKUP($B124,[1]XinMoi!$B:$Q,H$9,0)</f>
        <v>0</v>
      </c>
      <c r="I124" s="157">
        <f>VLOOKUP($B124,[1]XinMoi!$B:$Q,I$9,0)</f>
        <v>0</v>
      </c>
      <c r="J124" s="158">
        <f t="shared" si="2"/>
        <v>0</v>
      </c>
      <c r="K124" s="159"/>
      <c r="L124" s="148">
        <f t="shared" si="3"/>
        <v>0</v>
      </c>
    </row>
    <row r="125" spans="1:12" s="160" customFormat="1" ht="22.2" hidden="1">
      <c r="A125" s="147" t="str">
        <f>[1]XinMoi!A136</f>
        <v>110</v>
      </c>
      <c r="B125" s="156">
        <v>116</v>
      </c>
      <c r="C125" s="99">
        <f>VLOOKUP($B125,[1]XinMoi!$B:$Q,C$9,0)</f>
        <v>0</v>
      </c>
      <c r="D125" s="100">
        <f>VLOOKUP($B125,[1]XinMoi!$B:$Q,D$9,0)</f>
        <v>0</v>
      </c>
      <c r="E125" s="101">
        <f>VLOOKUP($B125,[1]XinMoi!$B:$Q,E$9,0)</f>
        <v>0</v>
      </c>
      <c r="F125" s="102">
        <f>VLOOKUP($B125,[1]XinMoi!$B:$Q,F$9,0)</f>
        <v>0</v>
      </c>
      <c r="G125" s="100">
        <f>VLOOKUP($B125,[1]XinMoi!$B:$Q,G$9,0)</f>
        <v>0</v>
      </c>
      <c r="H125" s="100">
        <f>VLOOKUP($B125,[1]XinMoi!$B:$Q,H$9,0)</f>
        <v>0</v>
      </c>
      <c r="I125" s="157">
        <f>VLOOKUP($B125,[1]XinMoi!$B:$Q,I$9,0)</f>
        <v>0</v>
      </c>
      <c r="J125" s="158">
        <f t="shared" si="2"/>
        <v>0</v>
      </c>
      <c r="K125" s="159"/>
      <c r="L125" s="148">
        <f t="shared" si="3"/>
        <v>0</v>
      </c>
    </row>
    <row r="126" spans="1:12" s="160" customFormat="1" ht="22.2" hidden="1">
      <c r="A126" s="147" t="str">
        <f>[1]XinMoi!A137</f>
        <v>111</v>
      </c>
      <c r="B126" s="156">
        <v>117</v>
      </c>
      <c r="C126" s="99">
        <f>VLOOKUP($B126,[1]XinMoi!$B:$Q,C$9,0)</f>
        <v>0</v>
      </c>
      <c r="D126" s="100">
        <f>VLOOKUP($B126,[1]XinMoi!$B:$Q,D$9,0)</f>
        <v>0</v>
      </c>
      <c r="E126" s="101">
        <f>VLOOKUP($B126,[1]XinMoi!$B:$Q,E$9,0)</f>
        <v>0</v>
      </c>
      <c r="F126" s="102">
        <f>VLOOKUP($B126,[1]XinMoi!$B:$Q,F$9,0)</f>
        <v>0</v>
      </c>
      <c r="G126" s="100">
        <f>VLOOKUP($B126,[1]XinMoi!$B:$Q,G$9,0)</f>
        <v>0</v>
      </c>
      <c r="H126" s="100">
        <f>VLOOKUP($B126,[1]XinMoi!$B:$Q,H$9,0)</f>
        <v>0</v>
      </c>
      <c r="I126" s="157">
        <f>VLOOKUP($B126,[1]XinMoi!$B:$Q,I$9,0)</f>
        <v>0</v>
      </c>
      <c r="J126" s="158">
        <f t="shared" si="2"/>
        <v>0</v>
      </c>
      <c r="K126" s="159"/>
      <c r="L126" s="148">
        <f t="shared" si="3"/>
        <v>0</v>
      </c>
    </row>
    <row r="127" spans="1:12" s="160" customFormat="1" ht="22.2" hidden="1">
      <c r="A127" s="147" t="str">
        <f>[1]XinMoi!A138</f>
        <v>112</v>
      </c>
      <c r="B127" s="156">
        <v>118</v>
      </c>
      <c r="C127" s="99">
        <f>VLOOKUP($B127,[1]XinMoi!$B:$Q,C$9,0)</f>
        <v>0</v>
      </c>
      <c r="D127" s="100">
        <f>VLOOKUP($B127,[1]XinMoi!$B:$Q,D$9,0)</f>
        <v>0</v>
      </c>
      <c r="E127" s="101">
        <f>VLOOKUP($B127,[1]XinMoi!$B:$Q,E$9,0)</f>
        <v>0</v>
      </c>
      <c r="F127" s="102">
        <f>VLOOKUP($B127,[1]XinMoi!$B:$Q,F$9,0)</f>
        <v>0</v>
      </c>
      <c r="G127" s="100">
        <f>VLOOKUP($B127,[1]XinMoi!$B:$Q,G$9,0)</f>
        <v>0</v>
      </c>
      <c r="H127" s="100">
        <f>VLOOKUP($B127,[1]XinMoi!$B:$Q,H$9,0)</f>
        <v>0</v>
      </c>
      <c r="I127" s="157">
        <f>VLOOKUP($B127,[1]XinMoi!$B:$Q,I$9,0)</f>
        <v>0</v>
      </c>
      <c r="J127" s="158">
        <f t="shared" si="2"/>
        <v>0</v>
      </c>
      <c r="K127" s="159"/>
      <c r="L127" s="148">
        <f t="shared" si="3"/>
        <v>0</v>
      </c>
    </row>
    <row r="128" spans="1:12" s="160" customFormat="1" ht="22.2" hidden="1">
      <c r="A128" s="147" t="str">
        <f>[1]XinMoi!A139</f>
        <v>113</v>
      </c>
      <c r="B128" s="156">
        <v>119</v>
      </c>
      <c r="C128" s="99">
        <f>VLOOKUP($B128,[1]XinMoi!$B:$Q,C$9,0)</f>
        <v>0</v>
      </c>
      <c r="D128" s="100">
        <f>VLOOKUP($B128,[1]XinMoi!$B:$Q,D$9,0)</f>
        <v>0</v>
      </c>
      <c r="E128" s="101">
        <f>VLOOKUP($B128,[1]XinMoi!$B:$Q,E$9,0)</f>
        <v>0</v>
      </c>
      <c r="F128" s="102">
        <f>VLOOKUP($B128,[1]XinMoi!$B:$Q,F$9,0)</f>
        <v>0</v>
      </c>
      <c r="G128" s="100">
        <f>VLOOKUP($B128,[1]XinMoi!$B:$Q,G$9,0)</f>
        <v>0</v>
      </c>
      <c r="H128" s="100">
        <f>VLOOKUP($B128,[1]XinMoi!$B:$Q,H$9,0)</f>
        <v>0</v>
      </c>
      <c r="I128" s="157">
        <f>VLOOKUP($B128,[1]XinMoi!$B:$Q,I$9,0)</f>
        <v>0</v>
      </c>
      <c r="J128" s="158">
        <f t="shared" si="2"/>
        <v>0</v>
      </c>
      <c r="K128" s="159"/>
      <c r="L128" s="148">
        <f t="shared" si="3"/>
        <v>0</v>
      </c>
    </row>
    <row r="129" spans="1:12" s="160" customFormat="1" ht="22.2" hidden="1">
      <c r="A129" s="147" t="str">
        <f>[1]XinMoi!A140</f>
        <v>114</v>
      </c>
      <c r="B129" s="156">
        <v>120</v>
      </c>
      <c r="C129" s="99">
        <f>VLOOKUP($B129,[1]XinMoi!$B:$Q,C$9,0)</f>
        <v>0</v>
      </c>
      <c r="D129" s="100">
        <f>VLOOKUP($B129,[1]XinMoi!$B:$Q,D$9,0)</f>
        <v>0</v>
      </c>
      <c r="E129" s="101" t="str">
        <f>VLOOKUP($B129,[1]XinMoi!$B:$Q,E$9,0)</f>
        <v/>
      </c>
      <c r="F129" s="102" t="str">
        <f>VLOOKUP($B129,[1]XinMoi!$B:$Q,F$9,0)</f>
        <v/>
      </c>
      <c r="G129" s="100">
        <f>VLOOKUP($B129,[1]XinMoi!$B:$Q,G$9,0)</f>
        <v>0</v>
      </c>
      <c r="H129" s="100">
        <f>VLOOKUP($B129,[1]XinMoi!$B:$Q,H$9,0)</f>
        <v>0</v>
      </c>
      <c r="I129" s="157">
        <f>VLOOKUP($B129,[1]XinMoi!$B:$Q,I$9,0)</f>
        <v>0</v>
      </c>
      <c r="J129" s="158">
        <f t="shared" si="2"/>
        <v>0</v>
      </c>
      <c r="K129" s="159"/>
      <c r="L129" s="148">
        <f t="shared" si="3"/>
        <v>0</v>
      </c>
    </row>
    <row r="130" spans="1:12" s="160" customFormat="1" ht="22.2" hidden="1">
      <c r="A130" s="147" t="str">
        <f>[1]XinMoi!A141</f>
        <v>115</v>
      </c>
      <c r="B130" s="156">
        <v>121</v>
      </c>
      <c r="C130" s="99">
        <f>VLOOKUP($B130,[1]XinMoi!$B:$Q,C$9,0)</f>
        <v>0</v>
      </c>
      <c r="D130" s="100">
        <f>VLOOKUP($B130,[1]XinMoi!$B:$Q,D$9,0)</f>
        <v>0</v>
      </c>
      <c r="E130" s="101" t="str">
        <f>VLOOKUP($B130,[1]XinMoi!$B:$Q,E$9,0)</f>
        <v/>
      </c>
      <c r="F130" s="102" t="str">
        <f>VLOOKUP($B130,[1]XinMoi!$B:$Q,F$9,0)</f>
        <v/>
      </c>
      <c r="G130" s="100">
        <f>VLOOKUP($B130,[1]XinMoi!$B:$Q,G$9,0)</f>
        <v>0</v>
      </c>
      <c r="H130" s="100">
        <f>VLOOKUP($B130,[1]XinMoi!$B:$Q,H$9,0)</f>
        <v>0</v>
      </c>
      <c r="I130" s="157">
        <f>VLOOKUP($B130,[1]XinMoi!$B:$Q,I$9,0)</f>
        <v>0</v>
      </c>
      <c r="J130" s="158">
        <f t="shared" si="2"/>
        <v>0</v>
      </c>
      <c r="K130" s="159"/>
      <c r="L130" s="148">
        <f t="shared" si="3"/>
        <v>0</v>
      </c>
    </row>
    <row r="131" spans="1:12" s="160" customFormat="1" ht="22.2" hidden="1">
      <c r="A131" s="147" t="str">
        <f>[1]XinMoi!A142</f>
        <v>116</v>
      </c>
      <c r="B131" s="156">
        <v>122</v>
      </c>
      <c r="C131" s="99">
        <f>VLOOKUP($B131,[1]XinMoi!$B:$Q,C$9,0)</f>
        <v>0</v>
      </c>
      <c r="D131" s="100">
        <f>VLOOKUP($B131,[1]XinMoi!$B:$Q,D$9,0)</f>
        <v>0</v>
      </c>
      <c r="E131" s="101" t="str">
        <f>VLOOKUP($B131,[1]XinMoi!$B:$Q,E$9,0)</f>
        <v/>
      </c>
      <c r="F131" s="102" t="str">
        <f>VLOOKUP($B131,[1]XinMoi!$B:$Q,F$9,0)</f>
        <v/>
      </c>
      <c r="G131" s="100">
        <f>VLOOKUP($B131,[1]XinMoi!$B:$Q,G$9,0)</f>
        <v>0</v>
      </c>
      <c r="H131" s="100">
        <f>VLOOKUP($B131,[1]XinMoi!$B:$Q,H$9,0)</f>
        <v>0</v>
      </c>
      <c r="I131" s="157">
        <f>VLOOKUP($B131,[1]XinMoi!$B:$Q,I$9,0)</f>
        <v>0</v>
      </c>
      <c r="J131" s="158">
        <f t="shared" si="2"/>
        <v>0</v>
      </c>
      <c r="K131" s="159"/>
      <c r="L131" s="148">
        <f t="shared" si="3"/>
        <v>0</v>
      </c>
    </row>
    <row r="132" spans="1:12" s="160" customFormat="1" ht="22.2" hidden="1">
      <c r="A132" s="147" t="str">
        <f>[1]XinMoi!A143</f>
        <v>117</v>
      </c>
      <c r="B132" s="156">
        <v>123</v>
      </c>
      <c r="C132" s="99">
        <f>VLOOKUP($B132,[1]XinMoi!$B:$Q,C$9,0)</f>
        <v>0</v>
      </c>
      <c r="D132" s="100">
        <f>VLOOKUP($B132,[1]XinMoi!$B:$Q,D$9,0)</f>
        <v>0</v>
      </c>
      <c r="E132" s="101" t="str">
        <f>VLOOKUP($B132,[1]XinMoi!$B:$Q,E$9,0)</f>
        <v/>
      </c>
      <c r="F132" s="102" t="str">
        <f>VLOOKUP($B132,[1]XinMoi!$B:$Q,F$9,0)</f>
        <v/>
      </c>
      <c r="G132" s="100">
        <f>VLOOKUP($B132,[1]XinMoi!$B:$Q,G$9,0)</f>
        <v>0</v>
      </c>
      <c r="H132" s="100">
        <f>VLOOKUP($B132,[1]XinMoi!$B:$Q,H$9,0)</f>
        <v>0</v>
      </c>
      <c r="I132" s="157">
        <f>VLOOKUP($B132,[1]XinMoi!$B:$Q,I$9,0)</f>
        <v>0</v>
      </c>
      <c r="J132" s="158">
        <f t="shared" si="2"/>
        <v>0</v>
      </c>
      <c r="K132" s="159"/>
      <c r="L132" s="148">
        <f t="shared" si="3"/>
        <v>0</v>
      </c>
    </row>
    <row r="133" spans="1:12" s="160" customFormat="1" ht="22.2">
      <c r="A133" s="147" t="str">
        <f>[1]XinMoi!A144</f>
        <v>118</v>
      </c>
      <c r="B133" s="280" t="s">
        <v>102</v>
      </c>
      <c r="C133" s="281"/>
      <c r="D133" s="281"/>
      <c r="E133" s="161"/>
      <c r="F133" s="162"/>
      <c r="G133" s="163"/>
      <c r="H133" s="164"/>
      <c r="I133" s="165"/>
      <c r="J133" s="166">
        <f>ROUND(SUM(J10:J132,0),0)</f>
        <v>5039045</v>
      </c>
      <c r="K133" s="159"/>
      <c r="L133" s="148">
        <v>1</v>
      </c>
    </row>
    <row r="134" spans="1:12" s="167" customFormat="1" ht="24" customHeight="1" thickBot="1">
      <c r="A134" s="147" t="str">
        <f>[1]XinMoi!A145</f>
        <v>119</v>
      </c>
      <c r="B134" s="282" t="s">
        <v>103</v>
      </c>
      <c r="C134" s="283"/>
      <c r="D134" s="283" t="e">
        <f ca="1">[2]!vnd(J133)</f>
        <v>#NAME?</v>
      </c>
      <c r="E134" s="283"/>
      <c r="F134" s="283"/>
      <c r="G134" s="283"/>
      <c r="H134" s="283"/>
      <c r="I134" s="283"/>
      <c r="J134" s="283"/>
      <c r="K134" s="284"/>
      <c r="L134" s="148" t="e">
        <f t="shared" ca="1" si="3"/>
        <v>#NAME?</v>
      </c>
    </row>
    <row r="135" spans="1:12" s="167" customFormat="1" ht="16.5" customHeight="1">
      <c r="A135" s="147"/>
      <c r="B135" s="168"/>
      <c r="C135" s="168"/>
      <c r="D135" s="168"/>
      <c r="E135" s="168"/>
      <c r="F135" s="168"/>
      <c r="G135" s="168"/>
      <c r="H135" s="168"/>
      <c r="I135" s="168"/>
      <c r="J135" s="168"/>
      <c r="K135" s="168"/>
      <c r="L135" s="148"/>
    </row>
    <row r="136" spans="1:12" s="148" customFormat="1" ht="25.5" customHeight="1">
      <c r="A136" s="147">
        <f>[1]XinMoi!C150</f>
        <v>0</v>
      </c>
      <c r="H136" s="275" t="s">
        <v>104</v>
      </c>
      <c r="I136" s="275"/>
      <c r="J136" s="275"/>
      <c r="K136" s="275"/>
    </row>
    <row r="137" spans="1:12" s="148" customFormat="1" ht="21">
      <c r="A137" s="147"/>
    </row>
    <row r="138" spans="1:12" s="148" customFormat="1" ht="21">
      <c r="A138" s="147"/>
    </row>
    <row r="139" spans="1:12" s="148" customFormat="1" ht="21">
      <c r="A139" s="147"/>
    </row>
    <row r="140" spans="1:12" s="148" customFormat="1" ht="21">
      <c r="A140" s="147"/>
    </row>
    <row r="141" spans="1:12" s="148" customFormat="1" ht="24" customHeight="1">
      <c r="A141" s="147"/>
    </row>
    <row r="142" spans="1:12" s="148" customFormat="1" ht="20.25" customHeight="1">
      <c r="A142" s="147"/>
    </row>
    <row r="143" spans="1:12" s="148" customFormat="1" ht="21">
      <c r="A143" s="147"/>
    </row>
    <row r="144" spans="1:12" s="148" customFormat="1" ht="21">
      <c r="A144" s="147"/>
    </row>
    <row r="145" spans="1:10" s="148" customFormat="1" ht="21">
      <c r="A145" s="147"/>
      <c r="C145" s="169"/>
      <c r="D145" s="170"/>
      <c r="E145" s="170"/>
      <c r="F145" s="170"/>
      <c r="G145" s="170"/>
      <c r="H145" s="170"/>
      <c r="I145" s="170"/>
      <c r="J145" s="170"/>
    </row>
    <row r="146" spans="1:10" s="148" customFormat="1" ht="21">
      <c r="A146" s="147"/>
    </row>
    <row r="147" spans="1:10" s="148" customFormat="1" ht="21">
      <c r="A147" s="147"/>
    </row>
    <row r="148" spans="1:10" s="148" customFormat="1" ht="21">
      <c r="A148" s="147"/>
    </row>
    <row r="149" spans="1:10" s="148" customFormat="1" ht="21">
      <c r="A149" s="147"/>
    </row>
  </sheetData>
  <autoFilter ref="L7:L134">
    <filterColumn colId="0">
      <filters>
        <filter val="1"/>
      </filters>
    </filterColumn>
  </autoFilter>
  <mergeCells count="19">
    <mergeCell ref="H136:K136"/>
    <mergeCell ref="I7:I8"/>
    <mergeCell ref="J7:J8"/>
    <mergeCell ref="K7:K8"/>
    <mergeCell ref="B133:D133"/>
    <mergeCell ref="B134:C134"/>
    <mergeCell ref="D134:K134"/>
    <mergeCell ref="B7:B8"/>
    <mergeCell ref="C7:C8"/>
    <mergeCell ref="D7:D8"/>
    <mergeCell ref="E7:F7"/>
    <mergeCell ref="G7:G8"/>
    <mergeCell ref="H7:H8"/>
    <mergeCell ref="C6:D6"/>
    <mergeCell ref="B1:D1"/>
    <mergeCell ref="B2:D2"/>
    <mergeCell ref="B3:D3"/>
    <mergeCell ref="B4:K4"/>
    <mergeCell ref="B5:K5"/>
  </mergeCells>
  <printOptions horizontalCentered="1"/>
  <pageMargins left="0.27559055118110198" right="0.31496062992126" top="0.62992125984252001" bottom="0.196850393700787" header="0.15748031496063" footer="0.15748031496063"/>
  <pageSetup paperSize="9" scale="9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490"/>
  <sheetViews>
    <sheetView showZeros="0" zoomScaleNormal="100" workbookViewId="0">
      <pane xSplit="3" ySplit="2" topLeftCell="D1349" activePane="bottomRight" state="frozen"/>
      <selection activeCell="Q2336" sqref="Q2336"/>
      <selection pane="topRight" activeCell="Q2336" sqref="Q2336"/>
      <selection pane="bottomLeft" activeCell="Q2336" sqref="Q2336"/>
      <selection pane="bottomRight" activeCell="C1493" sqref="C1493"/>
    </sheetView>
  </sheetViews>
  <sheetFormatPr defaultColWidth="8.90625" defaultRowHeight="13.2"/>
  <cols>
    <col min="1" max="1" width="15.36328125" style="539" customWidth="1"/>
    <col min="2" max="2" width="9.81640625" style="515" customWidth="1"/>
    <col min="3" max="3" width="58.453125" style="539" customWidth="1"/>
    <col min="4" max="4" width="8.90625" style="467" customWidth="1"/>
    <col min="5" max="5" width="5.08984375" style="467" customWidth="1"/>
    <col min="6" max="7" width="8.90625" style="467"/>
    <col min="8" max="8" width="18.453125" style="467" customWidth="1"/>
    <col min="9" max="16384" width="8.90625" style="467"/>
  </cols>
  <sheetData>
    <row r="1" spans="1:8" s="462" customFormat="1" ht="27.75" customHeight="1">
      <c r="A1" s="199" t="s">
        <v>3975</v>
      </c>
      <c r="B1" s="459" t="s">
        <v>1389</v>
      </c>
      <c r="C1" s="460" t="s">
        <v>44</v>
      </c>
      <c r="D1" s="460" t="s">
        <v>442</v>
      </c>
      <c r="E1" s="461"/>
      <c r="F1" s="462" t="s">
        <v>0</v>
      </c>
      <c r="G1" s="462" t="s">
        <v>1390</v>
      </c>
      <c r="H1" s="462" t="s">
        <v>80</v>
      </c>
    </row>
    <row r="2" spans="1:8" s="462" customFormat="1" ht="21.75" hidden="1" customHeight="1">
      <c r="A2" s="458"/>
      <c r="B2" s="459">
        <v>2</v>
      </c>
      <c r="C2" s="458">
        <v>3</v>
      </c>
      <c r="D2" s="460">
        <v>4</v>
      </c>
      <c r="E2" s="461"/>
      <c r="F2" s="462">
        <v>3000</v>
      </c>
    </row>
    <row r="3" spans="1:8">
      <c r="A3" s="463" t="s">
        <v>1391</v>
      </c>
      <c r="B3" s="464" t="s">
        <v>1392</v>
      </c>
      <c r="C3" s="463" t="s">
        <v>1393</v>
      </c>
      <c r="D3" s="465" t="s">
        <v>281</v>
      </c>
      <c r="E3" s="466" t="str">
        <f>LEFT(A3,2)</f>
        <v>D1</v>
      </c>
      <c r="F3" s="467">
        <v>50</v>
      </c>
      <c r="G3" s="467" t="s">
        <v>28</v>
      </c>
      <c r="H3" s="467">
        <v>1</v>
      </c>
    </row>
    <row r="4" spans="1:8" hidden="1">
      <c r="A4" s="463" t="s">
        <v>1394</v>
      </c>
      <c r="B4" s="464" t="s">
        <v>1395</v>
      </c>
      <c r="C4" s="463" t="s">
        <v>1396</v>
      </c>
      <c r="D4" s="465" t="s">
        <v>281</v>
      </c>
      <c r="E4" s="466" t="str">
        <f t="shared" ref="E4:E68" si="0">LEFT(A4,2)</f>
        <v>D1</v>
      </c>
      <c r="F4" s="467">
        <v>50</v>
      </c>
      <c r="G4" s="467" t="s">
        <v>28</v>
      </c>
      <c r="H4" s="467">
        <v>1</v>
      </c>
    </row>
    <row r="5" spans="1:8" hidden="1">
      <c r="A5" s="463" t="s">
        <v>1397</v>
      </c>
      <c r="B5" s="464" t="s">
        <v>1398</v>
      </c>
      <c r="C5" s="463" t="s">
        <v>1399</v>
      </c>
      <c r="D5" s="465" t="s">
        <v>281</v>
      </c>
      <c r="E5" s="466" t="str">
        <f t="shared" si="0"/>
        <v>D2</v>
      </c>
      <c r="F5" s="467">
        <v>50</v>
      </c>
      <c r="G5" s="467" t="s">
        <v>28</v>
      </c>
      <c r="H5" s="467" t="e">
        <v>#N/A</v>
      </c>
    </row>
    <row r="6" spans="1:8" hidden="1">
      <c r="A6" s="463" t="s">
        <v>1400</v>
      </c>
      <c r="B6" s="464" t="s">
        <v>1398</v>
      </c>
      <c r="C6" s="463" t="s">
        <v>1401</v>
      </c>
      <c r="D6" s="465" t="s">
        <v>281</v>
      </c>
      <c r="E6" s="466" t="str">
        <f t="shared" si="0"/>
        <v>D2</v>
      </c>
      <c r="F6" s="467">
        <v>50</v>
      </c>
      <c r="G6" s="467" t="s">
        <v>28</v>
      </c>
      <c r="H6" s="467" t="e">
        <v>#N/A</v>
      </c>
    </row>
    <row r="7" spans="1:8" hidden="1">
      <c r="A7" s="463" t="s">
        <v>907</v>
      </c>
      <c r="B7" s="464" t="s">
        <v>1395</v>
      </c>
      <c r="C7" s="463" t="s">
        <v>1402</v>
      </c>
      <c r="D7" s="465" t="s">
        <v>281</v>
      </c>
      <c r="E7" s="466" t="str">
        <f t="shared" si="0"/>
        <v>DN</v>
      </c>
      <c r="F7" s="467">
        <v>50</v>
      </c>
      <c r="G7" s="467" t="s">
        <v>28</v>
      </c>
      <c r="H7" s="467">
        <v>1</v>
      </c>
    </row>
    <row r="8" spans="1:8" hidden="1">
      <c r="A8" s="463" t="s">
        <v>916</v>
      </c>
      <c r="B8" s="464" t="s">
        <v>1395</v>
      </c>
      <c r="C8" s="463" t="s">
        <v>1403</v>
      </c>
      <c r="D8" s="465" t="s">
        <v>281</v>
      </c>
      <c r="E8" s="466" t="str">
        <f t="shared" si="0"/>
        <v>DN</v>
      </c>
      <c r="F8" s="467">
        <v>50</v>
      </c>
      <c r="G8" s="467" t="s">
        <v>28</v>
      </c>
      <c r="H8" s="467">
        <v>1</v>
      </c>
    </row>
    <row r="9" spans="1:8" hidden="1">
      <c r="A9" s="463" t="s">
        <v>921</v>
      </c>
      <c r="B9" s="464" t="s">
        <v>1398</v>
      </c>
      <c r="C9" s="463" t="s">
        <v>1404</v>
      </c>
      <c r="D9" s="465" t="s">
        <v>281</v>
      </c>
      <c r="E9" s="466" t="str">
        <f t="shared" si="0"/>
        <v>DN</v>
      </c>
      <c r="F9" s="467">
        <v>50</v>
      </c>
      <c r="G9" s="467" t="s">
        <v>28</v>
      </c>
      <c r="H9" s="467">
        <v>1</v>
      </c>
    </row>
    <row r="10" spans="1:8" hidden="1">
      <c r="A10" s="463" t="s">
        <v>926</v>
      </c>
      <c r="B10" s="464" t="s">
        <v>1398</v>
      </c>
      <c r="C10" s="463" t="s">
        <v>1405</v>
      </c>
      <c r="D10" s="465" t="s">
        <v>281</v>
      </c>
      <c r="E10" s="466" t="str">
        <f t="shared" si="0"/>
        <v>DN</v>
      </c>
      <c r="F10" s="467">
        <v>50</v>
      </c>
      <c r="G10" s="467" t="s">
        <v>28</v>
      </c>
      <c r="H10" s="467">
        <v>1</v>
      </c>
    </row>
    <row r="11" spans="1:8" hidden="1">
      <c r="A11" s="463" t="s">
        <v>1406</v>
      </c>
      <c r="B11" s="464" t="s">
        <v>1398</v>
      </c>
      <c r="C11" s="463" t="s">
        <v>1407</v>
      </c>
      <c r="D11" s="465" t="s">
        <v>281</v>
      </c>
      <c r="E11" s="466" t="str">
        <f t="shared" si="0"/>
        <v>DN</v>
      </c>
      <c r="F11" s="467">
        <v>50</v>
      </c>
      <c r="G11" s="467" t="s">
        <v>28</v>
      </c>
      <c r="H11" s="467" t="e">
        <v>#N/A</v>
      </c>
    </row>
    <row r="12" spans="1:8" hidden="1">
      <c r="A12" s="463" t="s">
        <v>1408</v>
      </c>
      <c r="B12" s="464" t="s">
        <v>1398</v>
      </c>
      <c r="C12" s="463" t="s">
        <v>1409</v>
      </c>
      <c r="D12" s="465" t="s">
        <v>281</v>
      </c>
      <c r="E12" s="466" t="str">
        <f t="shared" si="0"/>
        <v>DN</v>
      </c>
      <c r="F12" s="467">
        <v>50</v>
      </c>
      <c r="G12" s="467" t="s">
        <v>28</v>
      </c>
      <c r="H12" s="467" t="e">
        <v>#N/A</v>
      </c>
    </row>
    <row r="13" spans="1:8" hidden="1">
      <c r="A13" s="463" t="s">
        <v>1410</v>
      </c>
      <c r="B13" s="464" t="s">
        <v>1395</v>
      </c>
      <c r="C13" s="463" t="s">
        <v>1411</v>
      </c>
      <c r="D13" s="465" t="s">
        <v>281</v>
      </c>
      <c r="E13" s="466" t="str">
        <f t="shared" si="0"/>
        <v>DN</v>
      </c>
      <c r="F13" s="467">
        <v>50</v>
      </c>
      <c r="G13" s="467" t="s">
        <v>28</v>
      </c>
      <c r="H13" s="467" t="e">
        <v>#N/A</v>
      </c>
    </row>
    <row r="14" spans="1:8" hidden="1">
      <c r="A14" s="463" t="s">
        <v>1412</v>
      </c>
      <c r="B14" s="468"/>
      <c r="C14" s="463" t="s">
        <v>1413</v>
      </c>
      <c r="D14" s="465" t="s">
        <v>281</v>
      </c>
      <c r="E14" s="466" t="str">
        <f t="shared" si="0"/>
        <v>BN</v>
      </c>
      <c r="F14" s="467">
        <v>997</v>
      </c>
      <c r="G14" s="467" t="s">
        <v>28</v>
      </c>
      <c r="H14" s="467">
        <v>0</v>
      </c>
    </row>
    <row r="15" spans="1:8" hidden="1">
      <c r="A15" s="463" t="s">
        <v>1156</v>
      </c>
      <c r="B15" s="468"/>
      <c r="C15" s="463" t="s">
        <v>1414</v>
      </c>
      <c r="D15" s="465" t="s">
        <v>281</v>
      </c>
      <c r="E15" s="466" t="str">
        <f t="shared" si="0"/>
        <v>BB</v>
      </c>
      <c r="F15" s="467">
        <v>50</v>
      </c>
      <c r="G15" s="467" t="s">
        <v>28</v>
      </c>
      <c r="H15" s="467">
        <v>0</v>
      </c>
    </row>
    <row r="16" spans="1:8" hidden="1">
      <c r="A16" s="463" t="s">
        <v>1415</v>
      </c>
      <c r="B16" s="468"/>
      <c r="C16" s="463" t="s">
        <v>3864</v>
      </c>
      <c r="D16" s="465" t="s">
        <v>775</v>
      </c>
      <c r="E16" s="466" t="str">
        <f t="shared" si="0"/>
        <v>B4</v>
      </c>
      <c r="F16" s="467">
        <v>50</v>
      </c>
      <c r="G16" s="467" t="s">
        <v>28</v>
      </c>
      <c r="H16" s="467" t="e">
        <v>#N/A</v>
      </c>
    </row>
    <row r="17" spans="1:8" hidden="1">
      <c r="A17" s="463" t="s">
        <v>1416</v>
      </c>
      <c r="B17" s="468"/>
      <c r="C17" s="463" t="s">
        <v>3863</v>
      </c>
      <c r="D17" s="465" t="s">
        <v>775</v>
      </c>
      <c r="E17" s="466" t="str">
        <f t="shared" si="0"/>
        <v>B6</v>
      </c>
      <c r="F17" s="467">
        <v>50</v>
      </c>
      <c r="G17" s="467" t="s">
        <v>28</v>
      </c>
      <c r="H17" s="467" t="e">
        <v>#N/A</v>
      </c>
    </row>
    <row r="18" spans="1:8" hidden="1">
      <c r="A18" s="463" t="s">
        <v>1417</v>
      </c>
      <c r="B18" s="468"/>
      <c r="C18" s="463" t="s">
        <v>3862</v>
      </c>
      <c r="D18" s="465" t="s">
        <v>775</v>
      </c>
      <c r="E18" s="466" t="str">
        <f t="shared" si="0"/>
        <v>B1</v>
      </c>
      <c r="F18" s="467">
        <v>50</v>
      </c>
      <c r="G18" s="467" t="s">
        <v>28</v>
      </c>
      <c r="H18" s="467" t="e">
        <v>#N/A</v>
      </c>
    </row>
    <row r="19" spans="1:8" hidden="1">
      <c r="A19" s="463" t="s">
        <v>1100</v>
      </c>
      <c r="B19" s="468"/>
      <c r="C19" s="463" t="s">
        <v>3860</v>
      </c>
      <c r="D19" s="465" t="s">
        <v>775</v>
      </c>
      <c r="E19" s="466" t="str">
        <f t="shared" si="0"/>
        <v>B1</v>
      </c>
      <c r="F19" s="467">
        <v>50</v>
      </c>
      <c r="G19" s="467" t="s">
        <v>28</v>
      </c>
      <c r="H19" s="467">
        <v>0</v>
      </c>
    </row>
    <row r="20" spans="1:8" hidden="1">
      <c r="A20" s="463" t="s">
        <v>1418</v>
      </c>
      <c r="B20" s="468"/>
      <c r="C20" s="463" t="s">
        <v>3861</v>
      </c>
      <c r="D20" s="465" t="s">
        <v>775</v>
      </c>
      <c r="E20" s="466" t="str">
        <f t="shared" si="0"/>
        <v>B1</v>
      </c>
      <c r="F20" s="467">
        <v>50</v>
      </c>
      <c r="G20" s="467" t="s">
        <v>28</v>
      </c>
      <c r="H20" s="467" t="e">
        <v>#N/A</v>
      </c>
    </row>
    <row r="21" spans="1:8" s="472" customFormat="1" hidden="1">
      <c r="A21" s="469" t="s">
        <v>1419</v>
      </c>
      <c r="B21" s="470"/>
      <c r="C21" s="469" t="s">
        <v>3851</v>
      </c>
      <c r="D21" s="471" t="s">
        <v>775</v>
      </c>
      <c r="E21" s="466" t="str">
        <f t="shared" si="0"/>
        <v>B1</v>
      </c>
      <c r="F21" s="467">
        <v>50</v>
      </c>
      <c r="G21" s="467" t="s">
        <v>28</v>
      </c>
      <c r="H21" s="467" t="s">
        <v>775</v>
      </c>
    </row>
    <row r="22" spans="1:8" s="472" customFormat="1" hidden="1">
      <c r="A22" s="469" t="s">
        <v>1013</v>
      </c>
      <c r="B22" s="470"/>
      <c r="C22" s="469" t="s">
        <v>3852</v>
      </c>
      <c r="D22" s="471" t="s">
        <v>775</v>
      </c>
      <c r="E22" s="466" t="str">
        <f t="shared" si="0"/>
        <v>B1</v>
      </c>
      <c r="F22" s="467">
        <v>50</v>
      </c>
      <c r="G22" s="467" t="s">
        <v>28</v>
      </c>
      <c r="H22" s="467">
        <v>0</v>
      </c>
    </row>
    <row r="23" spans="1:8" s="472" customFormat="1" hidden="1">
      <c r="A23" s="469" t="s">
        <v>640</v>
      </c>
      <c r="B23" s="470"/>
      <c r="C23" s="469" t="s">
        <v>3853</v>
      </c>
      <c r="D23" s="471" t="s">
        <v>775</v>
      </c>
      <c r="E23" s="466" t="str">
        <f t="shared" si="0"/>
        <v>B1</v>
      </c>
      <c r="F23" s="467">
        <v>50</v>
      </c>
      <c r="G23" s="467" t="s">
        <v>28</v>
      </c>
      <c r="H23" s="467">
        <v>1</v>
      </c>
    </row>
    <row r="24" spans="1:8" s="472" customFormat="1" hidden="1">
      <c r="A24" s="469" t="s">
        <v>1359</v>
      </c>
      <c r="B24" s="470"/>
      <c r="C24" s="469" t="s">
        <v>3854</v>
      </c>
      <c r="D24" s="471" t="s">
        <v>775</v>
      </c>
      <c r="E24" s="466" t="str">
        <f t="shared" si="0"/>
        <v>B1</v>
      </c>
      <c r="F24" s="467">
        <v>50</v>
      </c>
      <c r="G24" s="467" t="s">
        <v>28</v>
      </c>
      <c r="H24" s="467">
        <v>4</v>
      </c>
    </row>
    <row r="25" spans="1:8" s="472" customFormat="1" hidden="1">
      <c r="A25" s="469" t="s">
        <v>1420</v>
      </c>
      <c r="B25" s="470"/>
      <c r="C25" s="469" t="s">
        <v>3855</v>
      </c>
      <c r="D25" s="471" t="s">
        <v>775</v>
      </c>
      <c r="E25" s="466" t="str">
        <f t="shared" si="0"/>
        <v>B1</v>
      </c>
      <c r="F25" s="467">
        <v>50</v>
      </c>
      <c r="G25" s="467" t="s">
        <v>28</v>
      </c>
      <c r="H25" s="467">
        <v>0</v>
      </c>
    </row>
    <row r="26" spans="1:8" s="472" customFormat="1" hidden="1">
      <c r="A26" s="469" t="s">
        <v>1421</v>
      </c>
      <c r="B26" s="470"/>
      <c r="C26" s="469" t="s">
        <v>3856</v>
      </c>
      <c r="D26" s="471" t="s">
        <v>775</v>
      </c>
      <c r="E26" s="466" t="str">
        <f t="shared" si="0"/>
        <v>B1</v>
      </c>
      <c r="F26" s="467">
        <v>50</v>
      </c>
      <c r="G26" s="467" t="s">
        <v>28</v>
      </c>
      <c r="H26" s="467" t="e">
        <v>#N/A</v>
      </c>
    </row>
    <row r="27" spans="1:8" s="472" customFormat="1" hidden="1">
      <c r="A27" s="469" t="s">
        <v>1422</v>
      </c>
      <c r="B27" s="470"/>
      <c r="C27" s="469" t="s">
        <v>3857</v>
      </c>
      <c r="D27" s="471" t="s">
        <v>775</v>
      </c>
      <c r="E27" s="466" t="str">
        <f t="shared" si="0"/>
        <v>B1</v>
      </c>
      <c r="F27" s="467">
        <v>50</v>
      </c>
      <c r="G27" s="467" t="s">
        <v>28</v>
      </c>
      <c r="H27" s="467" t="e">
        <v>#N/A</v>
      </c>
    </row>
    <row r="28" spans="1:8" s="472" customFormat="1" hidden="1">
      <c r="A28" s="469" t="s">
        <v>1423</v>
      </c>
      <c r="B28" s="470"/>
      <c r="C28" s="469" t="s">
        <v>3858</v>
      </c>
      <c r="D28" s="471" t="s">
        <v>775</v>
      </c>
      <c r="E28" s="466" t="str">
        <f t="shared" si="0"/>
        <v>B1</v>
      </c>
      <c r="F28" s="467">
        <v>50</v>
      </c>
      <c r="G28" s="467" t="s">
        <v>28</v>
      </c>
      <c r="H28" s="467">
        <v>0</v>
      </c>
    </row>
    <row r="29" spans="1:8" s="472" customFormat="1" hidden="1">
      <c r="A29" s="469" t="s">
        <v>1424</v>
      </c>
      <c r="B29" s="470"/>
      <c r="C29" s="469" t="s">
        <v>3859</v>
      </c>
      <c r="D29" s="471" t="s">
        <v>775</v>
      </c>
      <c r="E29" s="466" t="str">
        <f t="shared" si="0"/>
        <v>B1</v>
      </c>
      <c r="F29" s="467">
        <v>50</v>
      </c>
      <c r="G29" s="467" t="s">
        <v>28</v>
      </c>
      <c r="H29" s="467" t="e">
        <v>#N/A</v>
      </c>
    </row>
    <row r="30" spans="1:8" s="472" customFormat="1" hidden="1">
      <c r="A30" s="469" t="s">
        <v>1425</v>
      </c>
      <c r="B30" s="470"/>
      <c r="C30" s="469" t="s">
        <v>3848</v>
      </c>
      <c r="D30" s="471" t="s">
        <v>775</v>
      </c>
      <c r="E30" s="466" t="str">
        <f t="shared" si="0"/>
        <v>B1</v>
      </c>
      <c r="F30" s="467">
        <v>50</v>
      </c>
      <c r="G30" s="467" t="s">
        <v>28</v>
      </c>
      <c r="H30" s="467" t="e">
        <v>#N/A</v>
      </c>
    </row>
    <row r="31" spans="1:8" s="472" customFormat="1" hidden="1">
      <c r="A31" s="469" t="s">
        <v>1426</v>
      </c>
      <c r="B31" s="470"/>
      <c r="C31" s="469" t="s">
        <v>3849</v>
      </c>
      <c r="D31" s="471" t="s">
        <v>775</v>
      </c>
      <c r="E31" s="466" t="str">
        <f t="shared" si="0"/>
        <v>B1</v>
      </c>
      <c r="F31" s="467">
        <v>50</v>
      </c>
      <c r="G31" s="467" t="s">
        <v>28</v>
      </c>
      <c r="H31" s="467" t="e">
        <v>#N/A</v>
      </c>
    </row>
    <row r="32" spans="1:8" s="472" customFormat="1" hidden="1">
      <c r="A32" s="469" t="s">
        <v>1174</v>
      </c>
      <c r="B32" s="470"/>
      <c r="C32" s="469" t="s">
        <v>3850</v>
      </c>
      <c r="D32" s="471" t="s">
        <v>775</v>
      </c>
      <c r="E32" s="466" t="str">
        <f t="shared" si="0"/>
        <v>B1</v>
      </c>
      <c r="F32" s="467">
        <v>50</v>
      </c>
      <c r="G32" s="467" t="s">
        <v>28</v>
      </c>
      <c r="H32" s="467">
        <v>0</v>
      </c>
    </row>
    <row r="33" spans="1:8" hidden="1">
      <c r="A33" s="463" t="s">
        <v>1427</v>
      </c>
      <c r="B33" s="468"/>
      <c r="C33" s="463" t="s">
        <v>3846</v>
      </c>
      <c r="D33" s="465" t="s">
        <v>775</v>
      </c>
      <c r="E33" s="466" t="str">
        <f>LEFT(A33,2)</f>
        <v>B1</v>
      </c>
      <c r="F33" s="467">
        <v>50</v>
      </c>
      <c r="G33" s="467" t="s">
        <v>28</v>
      </c>
      <c r="H33" s="467" t="s">
        <v>775</v>
      </c>
    </row>
    <row r="34" spans="1:8" hidden="1">
      <c r="A34" s="463" t="s">
        <v>817</v>
      </c>
      <c r="B34" s="468"/>
      <c r="C34" s="463" t="s">
        <v>3847</v>
      </c>
      <c r="D34" s="465" t="s">
        <v>775</v>
      </c>
      <c r="E34" s="466" t="str">
        <f t="shared" si="0"/>
        <v>B1</v>
      </c>
      <c r="F34" s="467">
        <v>50</v>
      </c>
      <c r="G34" s="467" t="s">
        <v>28</v>
      </c>
      <c r="H34" s="467">
        <v>2</v>
      </c>
    </row>
    <row r="35" spans="1:8" hidden="1">
      <c r="A35" s="473" t="s">
        <v>1428</v>
      </c>
      <c r="B35" s="474"/>
      <c r="C35" s="473" t="s">
        <v>3821</v>
      </c>
      <c r="D35" s="475" t="s">
        <v>775</v>
      </c>
      <c r="E35" s="466" t="str">
        <f t="shared" si="0"/>
        <v>B1</v>
      </c>
      <c r="F35" s="467">
        <v>50</v>
      </c>
      <c r="G35" s="467" t="s">
        <v>28</v>
      </c>
      <c r="H35" s="467" t="e">
        <v>#N/A</v>
      </c>
    </row>
    <row r="36" spans="1:8" hidden="1">
      <c r="A36" s="473" t="s">
        <v>1429</v>
      </c>
      <c r="B36" s="474"/>
      <c r="C36" s="473" t="s">
        <v>3822</v>
      </c>
      <c r="D36" s="475" t="s">
        <v>775</v>
      </c>
      <c r="E36" s="466" t="str">
        <f t="shared" si="0"/>
        <v>B1</v>
      </c>
      <c r="F36" s="467">
        <v>50</v>
      </c>
      <c r="G36" s="467" t="s">
        <v>28</v>
      </c>
      <c r="H36" s="467" t="e">
        <v>#N/A</v>
      </c>
    </row>
    <row r="37" spans="1:8" hidden="1">
      <c r="A37" s="476" t="s">
        <v>708</v>
      </c>
      <c r="B37" s="477"/>
      <c r="C37" s="473" t="s">
        <v>3823</v>
      </c>
      <c r="D37" s="475" t="s">
        <v>775</v>
      </c>
      <c r="E37" s="466" t="str">
        <f t="shared" si="0"/>
        <v>B1</v>
      </c>
      <c r="F37" s="467">
        <v>50</v>
      </c>
      <c r="G37" s="467" t="s">
        <v>28</v>
      </c>
      <c r="H37" s="467">
        <v>2</v>
      </c>
    </row>
    <row r="38" spans="1:8" s="478" customFormat="1" hidden="1">
      <c r="A38" s="476" t="s">
        <v>803</v>
      </c>
      <c r="B38" s="477"/>
      <c r="C38" s="473" t="s">
        <v>3824</v>
      </c>
      <c r="D38" s="475" t="s">
        <v>775</v>
      </c>
      <c r="E38" s="466" t="str">
        <f t="shared" si="0"/>
        <v>B1</v>
      </c>
      <c r="F38" s="467">
        <v>50</v>
      </c>
      <c r="G38" s="467" t="s">
        <v>28</v>
      </c>
      <c r="H38" s="467">
        <v>8</v>
      </c>
    </row>
    <row r="39" spans="1:8" s="478" customFormat="1" hidden="1">
      <c r="A39" s="476" t="s">
        <v>1430</v>
      </c>
      <c r="B39" s="477"/>
      <c r="C39" s="473" t="s">
        <v>3825</v>
      </c>
      <c r="D39" s="475" t="s">
        <v>775</v>
      </c>
      <c r="E39" s="466" t="str">
        <f t="shared" si="0"/>
        <v>B1</v>
      </c>
      <c r="F39" s="467">
        <v>50</v>
      </c>
      <c r="G39" s="467" t="s">
        <v>28</v>
      </c>
      <c r="H39" s="467" t="s">
        <v>775</v>
      </c>
    </row>
    <row r="40" spans="1:8" s="478" customFormat="1" hidden="1">
      <c r="A40" s="476" t="s">
        <v>1431</v>
      </c>
      <c r="B40" s="477"/>
      <c r="C40" s="473" t="s">
        <v>3826</v>
      </c>
      <c r="D40" s="475" t="s">
        <v>775</v>
      </c>
      <c r="E40" s="466" t="str">
        <f t="shared" si="0"/>
        <v>B1</v>
      </c>
      <c r="F40" s="467">
        <v>50</v>
      </c>
      <c r="G40" s="467" t="s">
        <v>28</v>
      </c>
      <c r="H40" s="467" t="e">
        <v>#N/A</v>
      </c>
    </row>
    <row r="41" spans="1:8" s="478" customFormat="1" hidden="1">
      <c r="A41" s="473" t="s">
        <v>1432</v>
      </c>
      <c r="B41" s="474"/>
      <c r="C41" s="473" t="s">
        <v>3827</v>
      </c>
      <c r="D41" s="475" t="s">
        <v>775</v>
      </c>
      <c r="E41" s="466" t="str">
        <f t="shared" si="0"/>
        <v>B1</v>
      </c>
      <c r="F41" s="467">
        <v>50</v>
      </c>
      <c r="G41" s="467" t="s">
        <v>28</v>
      </c>
      <c r="H41" s="467" t="e">
        <v>#N/A</v>
      </c>
    </row>
    <row r="42" spans="1:8" s="478" customFormat="1" hidden="1">
      <c r="A42" s="476" t="s">
        <v>1433</v>
      </c>
      <c r="B42" s="477"/>
      <c r="C42" s="473" t="s">
        <v>3828</v>
      </c>
      <c r="D42" s="475" t="s">
        <v>775</v>
      </c>
      <c r="E42" s="466" t="str">
        <f t="shared" si="0"/>
        <v>B1</v>
      </c>
      <c r="F42" s="467">
        <v>50</v>
      </c>
      <c r="G42" s="467" t="s">
        <v>28</v>
      </c>
      <c r="H42" s="467" t="e">
        <v>#N/A</v>
      </c>
    </row>
    <row r="43" spans="1:8" s="478" customFormat="1" hidden="1">
      <c r="A43" s="473" t="s">
        <v>707</v>
      </c>
      <c r="B43" s="474"/>
      <c r="C43" s="473" t="s">
        <v>3829</v>
      </c>
      <c r="D43" s="475" t="s">
        <v>775</v>
      </c>
      <c r="E43" s="466" t="str">
        <f t="shared" si="0"/>
        <v>B1</v>
      </c>
      <c r="F43" s="467">
        <v>50</v>
      </c>
      <c r="G43" s="467" t="s">
        <v>28</v>
      </c>
      <c r="H43" s="467">
        <v>4</v>
      </c>
    </row>
    <row r="44" spans="1:8" s="478" customFormat="1" hidden="1">
      <c r="A44" s="473" t="s">
        <v>1434</v>
      </c>
      <c r="B44" s="474"/>
      <c r="C44" s="473" t="s">
        <v>3830</v>
      </c>
      <c r="D44" s="475" t="s">
        <v>775</v>
      </c>
      <c r="E44" s="466" t="str">
        <f t="shared" si="0"/>
        <v>B1</v>
      </c>
      <c r="F44" s="467">
        <v>50</v>
      </c>
      <c r="G44" s="467" t="s">
        <v>28</v>
      </c>
      <c r="H44" s="467" t="e">
        <v>#N/A</v>
      </c>
    </row>
    <row r="45" spans="1:8" s="478" customFormat="1" hidden="1">
      <c r="A45" s="473" t="s">
        <v>887</v>
      </c>
      <c r="B45" s="474"/>
      <c r="C45" s="473" t="s">
        <v>3831</v>
      </c>
      <c r="D45" s="475" t="s">
        <v>775</v>
      </c>
      <c r="E45" s="466" t="str">
        <f t="shared" si="0"/>
        <v>B1</v>
      </c>
      <c r="F45" s="467">
        <v>50</v>
      </c>
      <c r="G45" s="467" t="s">
        <v>28</v>
      </c>
      <c r="H45" s="467">
        <v>1</v>
      </c>
    </row>
    <row r="46" spans="1:8" s="478" customFormat="1" hidden="1">
      <c r="A46" s="476" t="s">
        <v>1435</v>
      </c>
      <c r="B46" s="477"/>
      <c r="C46" s="473" t="s">
        <v>3832</v>
      </c>
      <c r="D46" s="475" t="s">
        <v>775</v>
      </c>
      <c r="E46" s="466" t="str">
        <f t="shared" si="0"/>
        <v>B1</v>
      </c>
      <c r="F46" s="467">
        <v>50</v>
      </c>
      <c r="G46" s="467" t="s">
        <v>28</v>
      </c>
      <c r="H46" s="467" t="e">
        <v>#N/A</v>
      </c>
    </row>
    <row r="47" spans="1:8" s="478" customFormat="1" hidden="1">
      <c r="A47" s="473" t="s">
        <v>717</v>
      </c>
      <c r="B47" s="474"/>
      <c r="C47" s="473" t="s">
        <v>3833</v>
      </c>
      <c r="D47" s="475" t="s">
        <v>775</v>
      </c>
      <c r="E47" s="466" t="str">
        <f t="shared" si="0"/>
        <v>B1</v>
      </c>
      <c r="F47" s="467">
        <v>50</v>
      </c>
      <c r="G47" s="467" t="s">
        <v>28</v>
      </c>
      <c r="H47" s="467">
        <v>1</v>
      </c>
    </row>
    <row r="48" spans="1:8" s="478" customFormat="1" hidden="1">
      <c r="A48" s="476" t="s">
        <v>1436</v>
      </c>
      <c r="B48" s="477"/>
      <c r="C48" s="473" t="s">
        <v>3834</v>
      </c>
      <c r="D48" s="475" t="s">
        <v>775</v>
      </c>
      <c r="E48" s="466" t="str">
        <f t="shared" si="0"/>
        <v>B1</v>
      </c>
      <c r="F48" s="467">
        <v>50</v>
      </c>
      <c r="G48" s="467" t="s">
        <v>28</v>
      </c>
      <c r="H48" s="467" t="e">
        <v>#N/A</v>
      </c>
    </row>
    <row r="49" spans="1:8" s="478" customFormat="1" hidden="1">
      <c r="A49" s="476" t="s">
        <v>809</v>
      </c>
      <c r="B49" s="477"/>
      <c r="C49" s="473" t="s">
        <v>3835</v>
      </c>
      <c r="D49" s="475" t="s">
        <v>775</v>
      </c>
      <c r="E49" s="466" t="str">
        <f t="shared" si="0"/>
        <v>B1</v>
      </c>
      <c r="F49" s="467">
        <v>50</v>
      </c>
      <c r="G49" s="467" t="s">
        <v>28</v>
      </c>
      <c r="H49" s="467">
        <v>4</v>
      </c>
    </row>
    <row r="50" spans="1:8" s="478" customFormat="1" hidden="1">
      <c r="A50" s="476" t="s">
        <v>753</v>
      </c>
      <c r="B50" s="477"/>
      <c r="C50" s="473" t="s">
        <v>3836</v>
      </c>
      <c r="D50" s="475" t="s">
        <v>775</v>
      </c>
      <c r="E50" s="466" t="str">
        <f t="shared" si="0"/>
        <v>B1</v>
      </c>
      <c r="F50" s="467">
        <v>50</v>
      </c>
      <c r="G50" s="467" t="s">
        <v>28</v>
      </c>
      <c r="H50" s="467">
        <v>2</v>
      </c>
    </row>
    <row r="51" spans="1:8" s="478" customFormat="1" hidden="1">
      <c r="A51" s="476" t="s">
        <v>1437</v>
      </c>
      <c r="B51" s="477"/>
      <c r="C51" s="473" t="s">
        <v>3837</v>
      </c>
      <c r="D51" s="475" t="s">
        <v>775</v>
      </c>
      <c r="E51" s="466" t="str">
        <f t="shared" si="0"/>
        <v>B1</v>
      </c>
      <c r="F51" s="467">
        <v>50</v>
      </c>
      <c r="G51" s="467" t="s">
        <v>28</v>
      </c>
      <c r="H51" s="467" t="e">
        <v>#N/A</v>
      </c>
    </row>
    <row r="52" spans="1:8" s="478" customFormat="1" hidden="1">
      <c r="A52" s="476" t="s">
        <v>737</v>
      </c>
      <c r="B52" s="477"/>
      <c r="C52" s="473" t="s">
        <v>3838</v>
      </c>
      <c r="D52" s="475" t="s">
        <v>775</v>
      </c>
      <c r="E52" s="466" t="str">
        <f t="shared" si="0"/>
        <v>B1</v>
      </c>
      <c r="F52" s="467">
        <v>50</v>
      </c>
      <c r="G52" s="467" t="s">
        <v>28</v>
      </c>
      <c r="H52" s="467">
        <v>1</v>
      </c>
    </row>
    <row r="53" spans="1:8" s="478" customFormat="1" hidden="1">
      <c r="A53" s="476" t="s">
        <v>738</v>
      </c>
      <c r="B53" s="477"/>
      <c r="C53" s="473" t="s">
        <v>3839</v>
      </c>
      <c r="D53" s="475" t="s">
        <v>775</v>
      </c>
      <c r="E53" s="466" t="str">
        <f t="shared" si="0"/>
        <v>B1</v>
      </c>
      <c r="F53" s="467">
        <v>50</v>
      </c>
      <c r="G53" s="467" t="s">
        <v>28</v>
      </c>
      <c r="H53" s="467">
        <v>1</v>
      </c>
    </row>
    <row r="54" spans="1:8" s="478" customFormat="1" hidden="1">
      <c r="A54" s="479" t="s">
        <v>1438</v>
      </c>
      <c r="B54" s="480"/>
      <c r="C54" s="479" t="s">
        <v>1439</v>
      </c>
      <c r="D54" s="481" t="s">
        <v>775</v>
      </c>
      <c r="E54" s="466" t="str">
        <f t="shared" si="0"/>
        <v>B1</v>
      </c>
      <c r="F54" s="467">
        <v>50</v>
      </c>
      <c r="G54" s="467" t="s">
        <v>28</v>
      </c>
      <c r="H54" s="467" t="e">
        <v>#N/A</v>
      </c>
    </row>
    <row r="55" spans="1:8" s="478" customFormat="1" hidden="1">
      <c r="A55" s="482" t="s">
        <v>870</v>
      </c>
      <c r="B55" s="483"/>
      <c r="C55" s="479" t="s">
        <v>1440</v>
      </c>
      <c r="D55" s="481" t="s">
        <v>775</v>
      </c>
      <c r="E55" s="466" t="str">
        <f t="shared" si="0"/>
        <v>B1</v>
      </c>
      <c r="F55" s="467">
        <v>50</v>
      </c>
      <c r="G55" s="467" t="s">
        <v>28</v>
      </c>
      <c r="H55" s="467">
        <v>2</v>
      </c>
    </row>
    <row r="56" spans="1:8" s="478" customFormat="1" hidden="1">
      <c r="A56" s="479" t="s">
        <v>1441</v>
      </c>
      <c r="B56" s="480"/>
      <c r="C56" s="479" t="s">
        <v>1442</v>
      </c>
      <c r="D56" s="481" t="s">
        <v>775</v>
      </c>
      <c r="E56" s="466" t="str">
        <f t="shared" si="0"/>
        <v>B1</v>
      </c>
      <c r="F56" s="467">
        <v>50</v>
      </c>
      <c r="G56" s="467" t="s">
        <v>28</v>
      </c>
      <c r="H56" s="467" t="e">
        <v>#N/A</v>
      </c>
    </row>
    <row r="57" spans="1:8" s="478" customFormat="1" hidden="1">
      <c r="A57" s="479" t="s">
        <v>1443</v>
      </c>
      <c r="B57" s="480"/>
      <c r="C57" s="479" t="s">
        <v>1444</v>
      </c>
      <c r="D57" s="481" t="s">
        <v>775</v>
      </c>
      <c r="E57" s="466" t="str">
        <f t="shared" si="0"/>
        <v>B1</v>
      </c>
      <c r="F57" s="467">
        <v>50</v>
      </c>
      <c r="G57" s="467" t="s">
        <v>28</v>
      </c>
      <c r="H57" s="467">
        <v>2</v>
      </c>
    </row>
    <row r="58" spans="1:8" s="478" customFormat="1" hidden="1">
      <c r="A58" s="479" t="s">
        <v>770</v>
      </c>
      <c r="B58" s="480"/>
      <c r="C58" s="479" t="s">
        <v>3948</v>
      </c>
      <c r="D58" s="481" t="s">
        <v>775</v>
      </c>
      <c r="E58" s="466" t="str">
        <f t="shared" si="0"/>
        <v>B1</v>
      </c>
      <c r="F58" s="467">
        <v>50</v>
      </c>
      <c r="G58" s="467" t="s">
        <v>28</v>
      </c>
      <c r="H58" s="467">
        <v>2</v>
      </c>
    </row>
    <row r="59" spans="1:8" s="478" customFormat="1" hidden="1">
      <c r="A59" s="479" t="s">
        <v>1445</v>
      </c>
      <c r="B59" s="480"/>
      <c r="C59" s="479" t="s">
        <v>1446</v>
      </c>
      <c r="D59" s="481" t="s">
        <v>775</v>
      </c>
      <c r="E59" s="466" t="str">
        <f t="shared" si="0"/>
        <v>B1</v>
      </c>
      <c r="F59" s="467">
        <v>50</v>
      </c>
      <c r="G59" s="467" t="s">
        <v>28</v>
      </c>
      <c r="H59" s="467" t="e">
        <v>#N/A</v>
      </c>
    </row>
    <row r="60" spans="1:8" s="478" customFormat="1" hidden="1">
      <c r="A60" s="482" t="s">
        <v>1447</v>
      </c>
      <c r="B60" s="483"/>
      <c r="C60" s="479" t="s">
        <v>1448</v>
      </c>
      <c r="D60" s="481" t="s">
        <v>775</v>
      </c>
      <c r="E60" s="466" t="str">
        <f t="shared" si="0"/>
        <v>B1</v>
      </c>
      <c r="F60" s="467">
        <v>50</v>
      </c>
      <c r="G60" s="467" t="s">
        <v>28</v>
      </c>
      <c r="H60" s="467">
        <v>1</v>
      </c>
    </row>
    <row r="61" spans="1:8" s="478" customFormat="1" hidden="1">
      <c r="A61" s="479" t="s">
        <v>1117</v>
      </c>
      <c r="B61" s="480"/>
      <c r="C61" s="479" t="s">
        <v>1449</v>
      </c>
      <c r="D61" s="481" t="s">
        <v>775</v>
      </c>
      <c r="E61" s="466" t="str">
        <f t="shared" si="0"/>
        <v>B1</v>
      </c>
      <c r="F61" s="467">
        <v>50</v>
      </c>
      <c r="G61" s="467" t="s">
        <v>28</v>
      </c>
      <c r="H61" s="467">
        <v>0</v>
      </c>
    </row>
    <row r="62" spans="1:8" s="478" customFormat="1" hidden="1">
      <c r="A62" s="479" t="s">
        <v>1450</v>
      </c>
      <c r="B62" s="480"/>
      <c r="C62" s="479" t="s">
        <v>1451</v>
      </c>
      <c r="D62" s="481" t="s">
        <v>775</v>
      </c>
      <c r="E62" s="466" t="str">
        <f t="shared" si="0"/>
        <v>B1</v>
      </c>
      <c r="F62" s="467">
        <v>50</v>
      </c>
      <c r="G62" s="467" t="s">
        <v>28</v>
      </c>
      <c r="H62" s="467">
        <v>4</v>
      </c>
    </row>
    <row r="63" spans="1:8" s="478" customFormat="1" hidden="1">
      <c r="A63" s="479" t="s">
        <v>1452</v>
      </c>
      <c r="B63" s="480"/>
      <c r="C63" s="479" t="s">
        <v>1453</v>
      </c>
      <c r="D63" s="481" t="s">
        <v>775</v>
      </c>
      <c r="E63" s="466" t="str">
        <f t="shared" si="0"/>
        <v>B1</v>
      </c>
      <c r="F63" s="467">
        <v>50</v>
      </c>
      <c r="G63" s="467" t="s">
        <v>28</v>
      </c>
      <c r="H63" s="467">
        <v>0</v>
      </c>
    </row>
    <row r="64" spans="1:8" s="478" customFormat="1" hidden="1">
      <c r="A64" s="479" t="s">
        <v>1454</v>
      </c>
      <c r="B64" s="480"/>
      <c r="C64" s="479" t="s">
        <v>1455</v>
      </c>
      <c r="D64" s="481" t="s">
        <v>775</v>
      </c>
      <c r="E64" s="466" t="str">
        <f t="shared" si="0"/>
        <v>B1</v>
      </c>
      <c r="F64" s="467">
        <v>50</v>
      </c>
      <c r="G64" s="467" t="s">
        <v>28</v>
      </c>
      <c r="H64" s="467" t="e">
        <v>#N/A</v>
      </c>
    </row>
    <row r="65" spans="1:8" s="478" customFormat="1" hidden="1">
      <c r="A65" s="479" t="s">
        <v>1456</v>
      </c>
      <c r="B65" s="480"/>
      <c r="C65" s="479" t="s">
        <v>1457</v>
      </c>
      <c r="D65" s="481" t="s">
        <v>775</v>
      </c>
      <c r="E65" s="466" t="str">
        <f t="shared" si="0"/>
        <v>B1</v>
      </c>
      <c r="F65" s="467">
        <v>50</v>
      </c>
      <c r="G65" s="467" t="s">
        <v>28</v>
      </c>
      <c r="H65" s="467" t="e">
        <v>#N/A</v>
      </c>
    </row>
    <row r="66" spans="1:8" s="478" customFormat="1" hidden="1">
      <c r="A66" s="469" t="s">
        <v>1458</v>
      </c>
      <c r="B66" s="470"/>
      <c r="C66" s="469" t="s">
        <v>3865</v>
      </c>
      <c r="D66" s="471" t="s">
        <v>775</v>
      </c>
      <c r="E66" s="466" t="str">
        <f t="shared" si="0"/>
        <v>B2</v>
      </c>
      <c r="F66" s="467">
        <v>50</v>
      </c>
      <c r="G66" s="467" t="s">
        <v>28</v>
      </c>
      <c r="H66" s="467" t="e">
        <v>#N/A</v>
      </c>
    </row>
    <row r="67" spans="1:8" s="478" customFormat="1" hidden="1">
      <c r="A67" s="469" t="s">
        <v>1459</v>
      </c>
      <c r="B67" s="470"/>
      <c r="C67" s="469" t="s">
        <v>3866</v>
      </c>
      <c r="D67" s="471" t="s">
        <v>775</v>
      </c>
      <c r="E67" s="466" t="str">
        <f t="shared" si="0"/>
        <v>B2</v>
      </c>
      <c r="F67" s="467">
        <v>50</v>
      </c>
      <c r="G67" s="467" t="s">
        <v>28</v>
      </c>
      <c r="H67" s="467" t="e">
        <v>#N/A</v>
      </c>
    </row>
    <row r="68" spans="1:8" s="478" customFormat="1" hidden="1">
      <c r="A68" s="484" t="s">
        <v>1460</v>
      </c>
      <c r="B68" s="485"/>
      <c r="C68" s="469" t="s">
        <v>3867</v>
      </c>
      <c r="D68" s="471" t="s">
        <v>775</v>
      </c>
      <c r="E68" s="466" t="str">
        <f t="shared" si="0"/>
        <v>B2</v>
      </c>
      <c r="F68" s="467">
        <v>50</v>
      </c>
      <c r="G68" s="467" t="s">
        <v>28</v>
      </c>
      <c r="H68" s="467" t="e">
        <v>#N/A</v>
      </c>
    </row>
    <row r="69" spans="1:8" s="478" customFormat="1" hidden="1">
      <c r="A69" s="484" t="s">
        <v>1461</v>
      </c>
      <c r="B69" s="485"/>
      <c r="C69" s="469" t="s">
        <v>3868</v>
      </c>
      <c r="D69" s="471" t="s">
        <v>775</v>
      </c>
      <c r="E69" s="466" t="str">
        <f t="shared" ref="E69:E132" si="1">LEFT(A69,2)</f>
        <v>B2</v>
      </c>
      <c r="F69" s="467">
        <v>50</v>
      </c>
      <c r="G69" s="467" t="s">
        <v>28</v>
      </c>
      <c r="H69" s="467">
        <v>1</v>
      </c>
    </row>
    <row r="70" spans="1:8" s="478" customFormat="1" hidden="1">
      <c r="A70" s="469" t="s">
        <v>1462</v>
      </c>
      <c r="B70" s="470" t="s">
        <v>467</v>
      </c>
      <c r="C70" s="469" t="s">
        <v>3869</v>
      </c>
      <c r="D70" s="471" t="s">
        <v>775</v>
      </c>
      <c r="E70" s="466" t="str">
        <f t="shared" si="1"/>
        <v>B2</v>
      </c>
      <c r="F70" s="467">
        <v>50</v>
      </c>
      <c r="G70" s="467" t="s">
        <v>28</v>
      </c>
      <c r="H70" s="467">
        <v>1</v>
      </c>
    </row>
    <row r="71" spans="1:8" s="478" customFormat="1" hidden="1">
      <c r="A71" s="469" t="s">
        <v>1463</v>
      </c>
      <c r="B71" s="470"/>
      <c r="C71" s="469" t="s">
        <v>3870</v>
      </c>
      <c r="D71" s="471" t="s">
        <v>775</v>
      </c>
      <c r="E71" s="466" t="str">
        <f t="shared" si="1"/>
        <v>B2</v>
      </c>
      <c r="F71" s="467">
        <v>50</v>
      </c>
      <c r="G71" s="467" t="s">
        <v>28</v>
      </c>
      <c r="H71" s="467">
        <v>1</v>
      </c>
    </row>
    <row r="72" spans="1:8" s="478" customFormat="1" hidden="1">
      <c r="A72" s="469" t="s">
        <v>1464</v>
      </c>
      <c r="B72" s="470"/>
      <c r="C72" s="469" t="s">
        <v>3871</v>
      </c>
      <c r="D72" s="471" t="s">
        <v>775</v>
      </c>
      <c r="E72" s="466" t="str">
        <f t="shared" si="1"/>
        <v>B2</v>
      </c>
      <c r="F72" s="467">
        <v>50</v>
      </c>
      <c r="G72" s="467" t="s">
        <v>28</v>
      </c>
      <c r="H72" s="467">
        <v>1</v>
      </c>
    </row>
    <row r="73" spans="1:8" s="478" customFormat="1" hidden="1">
      <c r="A73" s="469" t="s">
        <v>1465</v>
      </c>
      <c r="B73" s="470"/>
      <c r="C73" s="469" t="s">
        <v>3872</v>
      </c>
      <c r="D73" s="471" t="s">
        <v>775</v>
      </c>
      <c r="E73" s="466" t="str">
        <f t="shared" si="1"/>
        <v>B2</v>
      </c>
      <c r="F73" s="467">
        <v>50</v>
      </c>
      <c r="G73" s="467" t="s">
        <v>28</v>
      </c>
      <c r="H73" s="467">
        <v>2</v>
      </c>
    </row>
    <row r="74" spans="1:8" s="478" customFormat="1" hidden="1">
      <c r="A74" s="469" t="s">
        <v>1466</v>
      </c>
      <c r="B74" s="470"/>
      <c r="C74" s="469" t="s">
        <v>3873</v>
      </c>
      <c r="D74" s="471" t="s">
        <v>775</v>
      </c>
      <c r="E74" s="466" t="str">
        <f t="shared" si="1"/>
        <v>B2</v>
      </c>
      <c r="F74" s="467">
        <v>50</v>
      </c>
      <c r="G74" s="467" t="s">
        <v>28</v>
      </c>
      <c r="H74" s="467">
        <v>1</v>
      </c>
    </row>
    <row r="75" spans="1:8" s="478" customFormat="1" hidden="1">
      <c r="A75" s="469" t="s">
        <v>1467</v>
      </c>
      <c r="B75" s="470"/>
      <c r="C75" s="469" t="s">
        <v>3874</v>
      </c>
      <c r="D75" s="471" t="s">
        <v>775</v>
      </c>
      <c r="E75" s="466" t="str">
        <f t="shared" si="1"/>
        <v>B2</v>
      </c>
      <c r="F75" s="467">
        <v>50</v>
      </c>
      <c r="G75" s="467" t="s">
        <v>28</v>
      </c>
      <c r="H75" s="467">
        <v>1</v>
      </c>
    </row>
    <row r="76" spans="1:8" s="478" customFormat="1" hidden="1">
      <c r="A76" s="469" t="s">
        <v>1468</v>
      </c>
      <c r="B76" s="470"/>
      <c r="C76" s="469" t="s">
        <v>3875</v>
      </c>
      <c r="D76" s="471" t="s">
        <v>775</v>
      </c>
      <c r="E76" s="466" t="str">
        <f t="shared" si="1"/>
        <v>B2</v>
      </c>
      <c r="F76" s="467">
        <v>50</v>
      </c>
      <c r="G76" s="467" t="s">
        <v>28</v>
      </c>
      <c r="H76" s="467" t="e">
        <v>#N/A</v>
      </c>
    </row>
    <row r="77" spans="1:8" s="478" customFormat="1" hidden="1">
      <c r="A77" s="469" t="s">
        <v>1469</v>
      </c>
      <c r="B77" s="470"/>
      <c r="C77" s="469" t="s">
        <v>3876</v>
      </c>
      <c r="D77" s="471" t="s">
        <v>775</v>
      </c>
      <c r="E77" s="466" t="str">
        <f t="shared" si="1"/>
        <v>B2</v>
      </c>
      <c r="F77" s="467">
        <v>50</v>
      </c>
      <c r="G77" s="467" t="s">
        <v>28</v>
      </c>
      <c r="H77" s="467" t="e">
        <v>#N/A</v>
      </c>
    </row>
    <row r="78" spans="1:8" hidden="1">
      <c r="A78" s="463" t="s">
        <v>1470</v>
      </c>
      <c r="B78" s="468"/>
      <c r="C78" s="463" t="s">
        <v>3840</v>
      </c>
      <c r="D78" s="465" t="s">
        <v>775</v>
      </c>
      <c r="E78" s="466" t="str">
        <f t="shared" si="1"/>
        <v>B3</v>
      </c>
      <c r="F78" s="467">
        <v>50</v>
      </c>
      <c r="G78" s="467" t="s">
        <v>28</v>
      </c>
      <c r="H78" s="467" t="e">
        <v>#N/A</v>
      </c>
    </row>
    <row r="79" spans="1:8" hidden="1">
      <c r="A79" s="463" t="s">
        <v>1471</v>
      </c>
      <c r="B79" s="468"/>
      <c r="C79" s="463" t="s">
        <v>3841</v>
      </c>
      <c r="D79" s="465" t="s">
        <v>775</v>
      </c>
      <c r="E79" s="466" t="str">
        <f t="shared" si="1"/>
        <v>B3</v>
      </c>
      <c r="F79" s="467">
        <v>50</v>
      </c>
      <c r="G79" s="467" t="s">
        <v>28</v>
      </c>
      <c r="H79" s="467" t="e">
        <v>#N/A</v>
      </c>
    </row>
    <row r="80" spans="1:8" hidden="1">
      <c r="A80" s="473" t="s">
        <v>1472</v>
      </c>
      <c r="B80" s="474"/>
      <c r="C80" s="473" t="s">
        <v>3842</v>
      </c>
      <c r="D80" s="475" t="s">
        <v>775</v>
      </c>
      <c r="E80" s="466" t="str">
        <f t="shared" si="1"/>
        <v>BM</v>
      </c>
      <c r="F80" s="467">
        <v>50</v>
      </c>
      <c r="G80" s="467" t="s">
        <v>28</v>
      </c>
      <c r="H80" s="467" t="e">
        <v>#N/A</v>
      </c>
    </row>
    <row r="81" spans="1:8" hidden="1">
      <c r="A81" s="473" t="s">
        <v>820</v>
      </c>
      <c r="B81" s="474"/>
      <c r="C81" s="473" t="s">
        <v>3843</v>
      </c>
      <c r="D81" s="475" t="s">
        <v>775</v>
      </c>
      <c r="E81" s="466" t="str">
        <f t="shared" si="1"/>
        <v>BM</v>
      </c>
      <c r="F81" s="467">
        <v>50</v>
      </c>
      <c r="G81" s="467" t="s">
        <v>28</v>
      </c>
      <c r="H81" s="467">
        <v>1</v>
      </c>
    </row>
    <row r="82" spans="1:8" hidden="1">
      <c r="A82" s="473" t="s">
        <v>840</v>
      </c>
      <c r="B82" s="474"/>
      <c r="C82" s="473" t="s">
        <v>3844</v>
      </c>
      <c r="D82" s="475" t="s">
        <v>775</v>
      </c>
      <c r="E82" s="466" t="str">
        <f t="shared" si="1"/>
        <v>BM</v>
      </c>
      <c r="F82" s="467">
        <v>50</v>
      </c>
      <c r="G82" s="467" t="s">
        <v>28</v>
      </c>
      <c r="H82" s="467">
        <v>1</v>
      </c>
    </row>
    <row r="83" spans="1:8" s="478" customFormat="1" hidden="1">
      <c r="A83" s="473" t="s">
        <v>1274</v>
      </c>
      <c r="B83" s="474"/>
      <c r="C83" s="473" t="s">
        <v>3877</v>
      </c>
      <c r="D83" s="475" t="s">
        <v>775</v>
      </c>
      <c r="E83" s="466" t="str">
        <f t="shared" si="1"/>
        <v>BM</v>
      </c>
      <c r="F83" s="467">
        <v>50</v>
      </c>
      <c r="G83" s="467" t="s">
        <v>28</v>
      </c>
      <c r="H83" s="467">
        <v>0</v>
      </c>
    </row>
    <row r="84" spans="1:8" s="478" customFormat="1" hidden="1">
      <c r="A84" s="473" t="s">
        <v>1275</v>
      </c>
      <c r="B84" s="474"/>
      <c r="C84" s="473" t="s">
        <v>3878</v>
      </c>
      <c r="D84" s="475" t="s">
        <v>775</v>
      </c>
      <c r="E84" s="466" t="str">
        <f t="shared" si="1"/>
        <v>BM</v>
      </c>
      <c r="F84" s="467">
        <v>50</v>
      </c>
      <c r="G84" s="467" t="s">
        <v>28</v>
      </c>
      <c r="H84" s="467">
        <v>0</v>
      </c>
    </row>
    <row r="85" spans="1:8" hidden="1">
      <c r="A85" s="486" t="s">
        <v>1090</v>
      </c>
      <c r="B85" s="474"/>
      <c r="C85" s="473" t="s">
        <v>3845</v>
      </c>
      <c r="D85" s="475" t="s">
        <v>775</v>
      </c>
      <c r="E85" s="466" t="str">
        <f t="shared" si="1"/>
        <v>Bu</v>
      </c>
      <c r="F85" s="467">
        <v>50</v>
      </c>
      <c r="G85" s="467" t="s">
        <v>28</v>
      </c>
      <c r="H85" s="467">
        <v>0</v>
      </c>
    </row>
    <row r="86" spans="1:8" s="478" customFormat="1" hidden="1">
      <c r="A86" s="473" t="s">
        <v>1473</v>
      </c>
      <c r="B86" s="477"/>
      <c r="C86" s="473" t="s">
        <v>1474</v>
      </c>
      <c r="D86" s="475" t="s">
        <v>281</v>
      </c>
      <c r="E86" s="466" t="str">
        <f t="shared" si="1"/>
        <v>LD</v>
      </c>
      <c r="F86" s="467">
        <v>50</v>
      </c>
      <c r="G86" s="467" t="s">
        <v>28</v>
      </c>
      <c r="H86" s="467" t="e">
        <v>#N/A</v>
      </c>
    </row>
    <row r="87" spans="1:8" s="478" customFormat="1" hidden="1">
      <c r="A87" s="473" t="s">
        <v>1475</v>
      </c>
      <c r="B87" s="477"/>
      <c r="C87" s="473" t="s">
        <v>1476</v>
      </c>
      <c r="D87" s="475" t="s">
        <v>281</v>
      </c>
      <c r="E87" s="466" t="str">
        <f t="shared" si="1"/>
        <v>LD</v>
      </c>
      <c r="F87" s="467">
        <v>50</v>
      </c>
      <c r="G87" s="467" t="s">
        <v>28</v>
      </c>
      <c r="H87" s="467" t="e">
        <v>#N/A</v>
      </c>
    </row>
    <row r="88" spans="1:8" s="478" customFormat="1" hidden="1">
      <c r="A88" s="473" t="s">
        <v>1477</v>
      </c>
      <c r="B88" s="477"/>
      <c r="C88" s="473" t="s">
        <v>1478</v>
      </c>
      <c r="D88" s="475" t="s">
        <v>281</v>
      </c>
      <c r="E88" s="466" t="str">
        <f t="shared" si="1"/>
        <v>LD</v>
      </c>
      <c r="F88" s="467">
        <v>50</v>
      </c>
      <c r="G88" s="467" t="s">
        <v>28</v>
      </c>
      <c r="H88" s="467" t="e">
        <v>#N/A</v>
      </c>
    </row>
    <row r="89" spans="1:8" hidden="1">
      <c r="A89" s="463" t="s">
        <v>1479</v>
      </c>
      <c r="B89" s="468"/>
      <c r="C89" s="463" t="s">
        <v>1480</v>
      </c>
      <c r="D89" s="487" t="s">
        <v>285</v>
      </c>
      <c r="E89" s="466" t="str">
        <f t="shared" si="1"/>
        <v>BA</v>
      </c>
      <c r="F89" s="467">
        <v>50</v>
      </c>
      <c r="G89" s="467" t="s">
        <v>28</v>
      </c>
      <c r="H89" s="467">
        <v>0</v>
      </c>
    </row>
    <row r="90" spans="1:8" hidden="1">
      <c r="A90" s="463" t="s">
        <v>1481</v>
      </c>
      <c r="B90" s="468"/>
      <c r="C90" s="463" t="s">
        <v>1482</v>
      </c>
      <c r="D90" s="487" t="s">
        <v>285</v>
      </c>
      <c r="E90" s="466" t="str">
        <f t="shared" si="1"/>
        <v>BA</v>
      </c>
      <c r="F90" s="467">
        <v>50</v>
      </c>
      <c r="G90" s="467" t="s">
        <v>28</v>
      </c>
      <c r="H90" s="467">
        <v>0</v>
      </c>
    </row>
    <row r="91" spans="1:8" hidden="1">
      <c r="A91" s="463" t="s">
        <v>1483</v>
      </c>
      <c r="B91" s="488"/>
      <c r="C91" s="463" t="s">
        <v>1484</v>
      </c>
      <c r="D91" s="465" t="s">
        <v>775</v>
      </c>
      <c r="E91" s="466" t="str">
        <f t="shared" si="1"/>
        <v>BA</v>
      </c>
      <c r="F91" s="467">
        <v>50</v>
      </c>
      <c r="G91" s="467" t="s">
        <v>28</v>
      </c>
      <c r="H91" s="467" t="s">
        <v>775</v>
      </c>
    </row>
    <row r="92" spans="1:8" hidden="1">
      <c r="A92" s="463" t="s">
        <v>1383</v>
      </c>
      <c r="B92" s="468" t="s">
        <v>1485</v>
      </c>
      <c r="C92" s="463" t="s">
        <v>1486</v>
      </c>
      <c r="D92" s="465" t="s">
        <v>416</v>
      </c>
      <c r="E92" s="466" t="str">
        <f t="shared" si="1"/>
        <v>CT</v>
      </c>
      <c r="F92" s="467">
        <v>50</v>
      </c>
      <c r="G92" s="467" t="s">
        <v>28</v>
      </c>
      <c r="H92" s="467">
        <v>36</v>
      </c>
    </row>
    <row r="93" spans="1:8" hidden="1">
      <c r="A93" s="463" t="s">
        <v>1487</v>
      </c>
      <c r="B93" s="468" t="s">
        <v>1485</v>
      </c>
      <c r="C93" s="463" t="s">
        <v>1488</v>
      </c>
      <c r="D93" s="465" t="s">
        <v>416</v>
      </c>
      <c r="E93" s="466" t="str">
        <f t="shared" si="1"/>
        <v>CT</v>
      </c>
      <c r="F93" s="467">
        <v>50</v>
      </c>
      <c r="G93" s="467" t="s">
        <v>28</v>
      </c>
      <c r="H93" s="467" t="e">
        <v>#N/A</v>
      </c>
    </row>
    <row r="94" spans="1:8" hidden="1">
      <c r="A94" s="463" t="s">
        <v>551</v>
      </c>
      <c r="B94" s="468" t="s">
        <v>1485</v>
      </c>
      <c r="C94" s="463" t="s">
        <v>1489</v>
      </c>
      <c r="D94" s="465" t="s">
        <v>281</v>
      </c>
      <c r="E94" s="466" t="str">
        <f t="shared" si="1"/>
        <v>co</v>
      </c>
      <c r="F94" s="467">
        <v>50</v>
      </c>
      <c r="G94" s="467" t="s">
        <v>28</v>
      </c>
      <c r="H94" s="467">
        <v>2</v>
      </c>
    </row>
    <row r="95" spans="1:8" hidden="1">
      <c r="A95" s="463" t="s">
        <v>552</v>
      </c>
      <c r="B95" s="468" t="s">
        <v>1485</v>
      </c>
      <c r="C95" s="463" t="s">
        <v>1490</v>
      </c>
      <c r="D95" s="465" t="s">
        <v>281</v>
      </c>
      <c r="E95" s="466" t="str">
        <f t="shared" si="1"/>
        <v>co</v>
      </c>
      <c r="F95" s="467">
        <v>50</v>
      </c>
      <c r="G95" s="467" t="s">
        <v>28</v>
      </c>
      <c r="H95" s="467">
        <v>1</v>
      </c>
    </row>
    <row r="96" spans="1:8" hidden="1">
      <c r="A96" s="463" t="s">
        <v>1491</v>
      </c>
      <c r="B96" s="468" t="s">
        <v>1485</v>
      </c>
      <c r="C96" s="463" t="s">
        <v>1492</v>
      </c>
      <c r="D96" s="465" t="s">
        <v>416</v>
      </c>
      <c r="E96" s="466" t="str">
        <f t="shared" si="1"/>
        <v>CT</v>
      </c>
      <c r="F96" s="467">
        <v>50</v>
      </c>
      <c r="G96" s="467" t="s">
        <v>28</v>
      </c>
      <c r="H96" s="467">
        <v>42</v>
      </c>
    </row>
    <row r="97" spans="1:8" hidden="1">
      <c r="A97" s="479" t="s">
        <v>1493</v>
      </c>
      <c r="B97" s="483"/>
      <c r="C97" s="479" t="s">
        <v>1494</v>
      </c>
      <c r="D97" s="481" t="s">
        <v>1495</v>
      </c>
      <c r="E97" s="466" t="str">
        <f t="shared" si="1"/>
        <v>Mo</v>
      </c>
      <c r="F97" s="467">
        <v>50</v>
      </c>
      <c r="G97" s="467" t="s">
        <v>28</v>
      </c>
      <c r="H97" s="467" t="s">
        <v>1495</v>
      </c>
    </row>
    <row r="98" spans="1:8" hidden="1">
      <c r="A98" s="482" t="s">
        <v>1496</v>
      </c>
      <c r="B98" s="483"/>
      <c r="C98" s="479" t="s">
        <v>1497</v>
      </c>
      <c r="D98" s="481" t="s">
        <v>614</v>
      </c>
      <c r="E98" s="466" t="str">
        <f t="shared" si="1"/>
        <v>M1</v>
      </c>
      <c r="F98" s="467">
        <v>12</v>
      </c>
      <c r="G98" s="467" t="s">
        <v>28</v>
      </c>
      <c r="H98" s="467" t="e">
        <v>#N/A</v>
      </c>
    </row>
    <row r="99" spans="1:8">
      <c r="A99" s="482" t="s">
        <v>1498</v>
      </c>
      <c r="B99" s="483"/>
      <c r="C99" s="479" t="s">
        <v>1499</v>
      </c>
      <c r="D99" s="481" t="s">
        <v>614</v>
      </c>
      <c r="E99" s="466" t="str">
        <f t="shared" si="1"/>
        <v>M2</v>
      </c>
      <c r="F99" s="467">
        <v>12</v>
      </c>
      <c r="G99" s="467" t="s">
        <v>28</v>
      </c>
      <c r="H99" s="467" t="e">
        <v>#N/A</v>
      </c>
    </row>
    <row r="100" spans="1:8" hidden="1">
      <c r="A100" s="482" t="s">
        <v>637</v>
      </c>
      <c r="B100" s="483"/>
      <c r="C100" s="479" t="s">
        <v>1500</v>
      </c>
      <c r="D100" s="481" t="s">
        <v>614</v>
      </c>
      <c r="E100" s="466" t="str">
        <f t="shared" si="1"/>
        <v>M2</v>
      </c>
      <c r="F100" s="467">
        <v>12</v>
      </c>
      <c r="G100" s="467" t="s">
        <v>28</v>
      </c>
      <c r="H100" s="467">
        <v>3.36</v>
      </c>
    </row>
    <row r="101" spans="1:8" hidden="1">
      <c r="A101" s="482" t="s">
        <v>1081</v>
      </c>
      <c r="B101" s="483"/>
      <c r="C101" s="479" t="s">
        <v>1501</v>
      </c>
      <c r="D101" s="481" t="s">
        <v>614</v>
      </c>
      <c r="E101" s="466" t="str">
        <f t="shared" si="1"/>
        <v>M3</v>
      </c>
      <c r="F101" s="467">
        <v>12</v>
      </c>
      <c r="G101" s="467" t="s">
        <v>28</v>
      </c>
      <c r="H101" s="467">
        <v>0</v>
      </c>
    </row>
    <row r="102" spans="1:8" hidden="1">
      <c r="A102" s="479" t="s">
        <v>1502</v>
      </c>
      <c r="B102" s="483"/>
      <c r="C102" s="479" t="s">
        <v>1503</v>
      </c>
      <c r="D102" s="481" t="s">
        <v>1504</v>
      </c>
      <c r="E102" s="466" t="str">
        <f t="shared" si="1"/>
        <v>MT</v>
      </c>
      <c r="F102" s="467">
        <v>50</v>
      </c>
      <c r="G102" s="467" t="s">
        <v>28</v>
      </c>
      <c r="H102" s="467" t="s">
        <v>1504</v>
      </c>
    </row>
    <row r="103" spans="1:8" s="478" customFormat="1" hidden="1">
      <c r="A103" s="482" t="s">
        <v>1505</v>
      </c>
      <c r="B103" s="483"/>
      <c r="C103" s="479" t="s">
        <v>1506</v>
      </c>
      <c r="D103" s="481" t="s">
        <v>614</v>
      </c>
      <c r="E103" s="466" t="str">
        <f t="shared" si="1"/>
        <v>M5</v>
      </c>
      <c r="F103" s="467">
        <v>12</v>
      </c>
      <c r="G103" s="467" t="s">
        <v>28</v>
      </c>
      <c r="H103" s="467" t="e">
        <v>#N/A</v>
      </c>
    </row>
    <row r="104" spans="1:8" s="478" customFormat="1">
      <c r="A104" s="473" t="s">
        <v>1507</v>
      </c>
      <c r="B104" s="477"/>
      <c r="C104" s="473" t="s">
        <v>1508</v>
      </c>
      <c r="D104" s="475" t="s">
        <v>411</v>
      </c>
      <c r="E104" s="466" t="str">
        <f t="shared" si="1"/>
        <v>XL</v>
      </c>
      <c r="F104" s="478">
        <v>10</v>
      </c>
      <c r="G104" s="467" t="s">
        <v>28</v>
      </c>
      <c r="H104" s="467" t="e">
        <v>#N/A</v>
      </c>
    </row>
    <row r="105" spans="1:8" s="478" customFormat="1" hidden="1">
      <c r="A105" s="473" t="s">
        <v>1114</v>
      </c>
      <c r="B105" s="477"/>
      <c r="C105" s="473" t="s">
        <v>1509</v>
      </c>
      <c r="D105" s="475" t="s">
        <v>411</v>
      </c>
      <c r="E105" s="466" t="str">
        <f t="shared" si="1"/>
        <v>XL</v>
      </c>
      <c r="F105" s="478">
        <v>10</v>
      </c>
      <c r="G105" s="467" t="s">
        <v>28</v>
      </c>
      <c r="H105" s="467">
        <v>0</v>
      </c>
    </row>
    <row r="106" spans="1:8" s="478" customFormat="1" hidden="1">
      <c r="A106" s="473" t="s">
        <v>1510</v>
      </c>
      <c r="B106" s="477"/>
      <c r="C106" s="473" t="s">
        <v>1511</v>
      </c>
      <c r="D106" s="475" t="s">
        <v>411</v>
      </c>
      <c r="E106" s="466" t="str">
        <f t="shared" si="1"/>
        <v>XL</v>
      </c>
      <c r="F106" s="478">
        <v>10</v>
      </c>
      <c r="G106" s="467" t="s">
        <v>28</v>
      </c>
      <c r="H106" s="467" t="e">
        <v>#N/A</v>
      </c>
    </row>
    <row r="107" spans="1:8" s="478" customFormat="1" hidden="1">
      <c r="A107" s="473" t="s">
        <v>1080</v>
      </c>
      <c r="B107" s="477"/>
      <c r="C107" s="473" t="s">
        <v>1512</v>
      </c>
      <c r="D107" s="475" t="s">
        <v>411</v>
      </c>
      <c r="E107" s="466" t="str">
        <f t="shared" si="1"/>
        <v>XL</v>
      </c>
      <c r="F107" s="478">
        <v>10</v>
      </c>
      <c r="G107" s="467" t="s">
        <v>28</v>
      </c>
      <c r="H107" s="467">
        <v>0</v>
      </c>
    </row>
    <row r="108" spans="1:8" s="478" customFormat="1" hidden="1">
      <c r="A108" s="473" t="s">
        <v>1513</v>
      </c>
      <c r="B108" s="477"/>
      <c r="C108" s="473" t="s">
        <v>1514</v>
      </c>
      <c r="D108" s="475" t="s">
        <v>411</v>
      </c>
      <c r="E108" s="466" t="str">
        <f t="shared" si="1"/>
        <v>XL</v>
      </c>
      <c r="F108" s="478">
        <v>10</v>
      </c>
      <c r="G108" s="467" t="s">
        <v>28</v>
      </c>
      <c r="H108" s="467" t="e">
        <v>#N/A</v>
      </c>
    </row>
    <row r="109" spans="1:8" s="478" customFormat="1" hidden="1">
      <c r="A109" s="473" t="s">
        <v>1515</v>
      </c>
      <c r="B109" s="477"/>
      <c r="C109" s="473" t="s">
        <v>1516</v>
      </c>
      <c r="D109" s="475" t="s">
        <v>411</v>
      </c>
      <c r="E109" s="466" t="str">
        <f t="shared" si="1"/>
        <v>XL</v>
      </c>
      <c r="F109" s="478">
        <v>10</v>
      </c>
      <c r="G109" s="467" t="s">
        <v>28</v>
      </c>
      <c r="H109" s="467" t="e">
        <v>#N/A</v>
      </c>
    </row>
    <row r="110" spans="1:8" s="478" customFormat="1" hidden="1">
      <c r="A110" s="473" t="s">
        <v>1517</v>
      </c>
      <c r="B110" s="477"/>
      <c r="C110" s="473" t="s">
        <v>1518</v>
      </c>
      <c r="D110" s="475" t="s">
        <v>411</v>
      </c>
      <c r="E110" s="466" t="str">
        <f t="shared" si="1"/>
        <v>XL</v>
      </c>
      <c r="F110" s="478">
        <v>10</v>
      </c>
      <c r="G110" s="467" t="s">
        <v>28</v>
      </c>
      <c r="H110" s="467" t="e">
        <v>#N/A</v>
      </c>
    </row>
    <row r="111" spans="1:8" s="478" customFormat="1" hidden="1">
      <c r="A111" s="473" t="s">
        <v>1519</v>
      </c>
      <c r="B111" s="477"/>
      <c r="C111" s="473" t="s">
        <v>1520</v>
      </c>
      <c r="D111" s="475" t="s">
        <v>411</v>
      </c>
      <c r="E111" s="466" t="str">
        <f t="shared" si="1"/>
        <v>XL</v>
      </c>
      <c r="F111" s="478">
        <v>10</v>
      </c>
      <c r="G111" s="467" t="s">
        <v>28</v>
      </c>
      <c r="H111" s="467" t="e">
        <v>#N/A</v>
      </c>
    </row>
    <row r="112" spans="1:8" s="478" customFormat="1" hidden="1">
      <c r="A112" s="473" t="s">
        <v>1521</v>
      </c>
      <c r="B112" s="477"/>
      <c r="C112" s="473" t="s">
        <v>1522</v>
      </c>
      <c r="D112" s="475" t="s">
        <v>411</v>
      </c>
      <c r="E112" s="466" t="str">
        <f t="shared" si="1"/>
        <v>XL</v>
      </c>
      <c r="F112" s="478">
        <v>10</v>
      </c>
      <c r="G112" s="467" t="s">
        <v>28</v>
      </c>
      <c r="H112" s="467" t="e">
        <v>#N/A</v>
      </c>
    </row>
    <row r="113" spans="1:8" s="478" customFormat="1" hidden="1">
      <c r="A113" s="473" t="s">
        <v>1523</v>
      </c>
      <c r="B113" s="477"/>
      <c r="C113" s="473" t="s">
        <v>1524</v>
      </c>
      <c r="D113" s="475" t="s">
        <v>411</v>
      </c>
      <c r="E113" s="466" t="str">
        <f t="shared" si="1"/>
        <v>XL</v>
      </c>
      <c r="F113" s="478">
        <v>10</v>
      </c>
      <c r="G113" s="467" t="s">
        <v>28</v>
      </c>
      <c r="H113" s="467" t="e">
        <v>#N/A</v>
      </c>
    </row>
    <row r="114" spans="1:8" s="478" customFormat="1" hidden="1">
      <c r="A114" s="473" t="s">
        <v>1525</v>
      </c>
      <c r="B114" s="477"/>
      <c r="C114" s="473" t="s">
        <v>1526</v>
      </c>
      <c r="D114" s="475" t="s">
        <v>411</v>
      </c>
      <c r="E114" s="466" t="str">
        <f t="shared" si="1"/>
        <v>XL</v>
      </c>
      <c r="F114" s="478">
        <v>10</v>
      </c>
      <c r="G114" s="467" t="s">
        <v>28</v>
      </c>
      <c r="H114" s="467" t="e">
        <v>#N/A</v>
      </c>
    </row>
    <row r="115" spans="1:8" hidden="1">
      <c r="A115" s="479" t="s">
        <v>1527</v>
      </c>
      <c r="B115" s="483"/>
      <c r="C115" s="479" t="s">
        <v>1528</v>
      </c>
      <c r="D115" s="481" t="s">
        <v>411</v>
      </c>
      <c r="E115" s="466" t="str">
        <f t="shared" si="1"/>
        <v>XL</v>
      </c>
      <c r="F115" s="467">
        <v>15</v>
      </c>
      <c r="G115" s="467" t="s">
        <v>28</v>
      </c>
      <c r="H115" s="467" t="e">
        <v>#N/A</v>
      </c>
    </row>
    <row r="116" spans="1:8" hidden="1">
      <c r="A116" s="479" t="s">
        <v>1529</v>
      </c>
      <c r="B116" s="483"/>
      <c r="C116" s="479" t="s">
        <v>1530</v>
      </c>
      <c r="D116" s="481" t="s">
        <v>411</v>
      </c>
      <c r="E116" s="466" t="str">
        <f t="shared" si="1"/>
        <v>XL</v>
      </c>
      <c r="F116" s="467">
        <v>15</v>
      </c>
      <c r="G116" s="467" t="s">
        <v>28</v>
      </c>
      <c r="H116" s="467" t="e">
        <v>#N/A</v>
      </c>
    </row>
    <row r="117" spans="1:8" hidden="1">
      <c r="A117" s="479" t="s">
        <v>1079</v>
      </c>
      <c r="B117" s="483"/>
      <c r="C117" s="479" t="s">
        <v>1531</v>
      </c>
      <c r="D117" s="481" t="s">
        <v>411</v>
      </c>
      <c r="E117" s="466" t="str">
        <f t="shared" si="1"/>
        <v>XL</v>
      </c>
      <c r="F117" s="467">
        <v>15</v>
      </c>
      <c r="G117" s="467" t="s">
        <v>28</v>
      </c>
      <c r="H117" s="467">
        <v>0</v>
      </c>
    </row>
    <row r="118" spans="1:8" hidden="1">
      <c r="A118" s="479" t="s">
        <v>948</v>
      </c>
      <c r="B118" s="483"/>
      <c r="C118" s="479" t="s">
        <v>1532</v>
      </c>
      <c r="D118" s="481" t="s">
        <v>411</v>
      </c>
      <c r="E118" s="466" t="str">
        <f t="shared" si="1"/>
        <v>XL</v>
      </c>
      <c r="F118" s="467">
        <v>15</v>
      </c>
      <c r="G118" s="467" t="s">
        <v>28</v>
      </c>
      <c r="H118" s="467">
        <v>0</v>
      </c>
    </row>
    <row r="119" spans="1:8" hidden="1">
      <c r="A119" s="479" t="s">
        <v>947</v>
      </c>
      <c r="B119" s="483"/>
      <c r="C119" s="479" t="s">
        <v>1533</v>
      </c>
      <c r="D119" s="481" t="s">
        <v>411</v>
      </c>
      <c r="E119" s="466" t="str">
        <f t="shared" si="1"/>
        <v>XL</v>
      </c>
      <c r="F119" s="467">
        <v>15</v>
      </c>
      <c r="G119" s="467" t="s">
        <v>28</v>
      </c>
      <c r="H119" s="467">
        <v>0</v>
      </c>
    </row>
    <row r="120" spans="1:8" hidden="1">
      <c r="A120" s="479" t="s">
        <v>946</v>
      </c>
      <c r="B120" s="483"/>
      <c r="C120" s="479" t="s">
        <v>1534</v>
      </c>
      <c r="D120" s="481" t="s">
        <v>411</v>
      </c>
      <c r="E120" s="466" t="str">
        <f t="shared" si="1"/>
        <v>XL</v>
      </c>
      <c r="F120" s="467">
        <v>15</v>
      </c>
      <c r="G120" s="467" t="s">
        <v>28</v>
      </c>
      <c r="H120" s="467">
        <v>0</v>
      </c>
    </row>
    <row r="121" spans="1:8" hidden="1">
      <c r="A121" s="479" t="s">
        <v>945</v>
      </c>
      <c r="B121" s="483"/>
      <c r="C121" s="479" t="s">
        <v>1535</v>
      </c>
      <c r="D121" s="481" t="s">
        <v>411</v>
      </c>
      <c r="E121" s="466" t="str">
        <f t="shared" si="1"/>
        <v>XL</v>
      </c>
      <c r="F121" s="467">
        <v>15</v>
      </c>
      <c r="G121" s="467" t="s">
        <v>28</v>
      </c>
      <c r="H121" s="467">
        <v>0</v>
      </c>
    </row>
    <row r="122" spans="1:8" hidden="1">
      <c r="A122" s="479" t="s">
        <v>944</v>
      </c>
      <c r="B122" s="483"/>
      <c r="C122" s="479" t="s">
        <v>1536</v>
      </c>
      <c r="D122" s="481" t="s">
        <v>411</v>
      </c>
      <c r="E122" s="466" t="str">
        <f t="shared" si="1"/>
        <v>XL</v>
      </c>
      <c r="F122" s="467">
        <v>15</v>
      </c>
      <c r="G122" s="467" t="s">
        <v>28</v>
      </c>
      <c r="H122" s="467">
        <v>0</v>
      </c>
    </row>
    <row r="123" spans="1:8" hidden="1">
      <c r="A123" s="479" t="s">
        <v>943</v>
      </c>
      <c r="B123" s="483"/>
      <c r="C123" s="479" t="s">
        <v>1537</v>
      </c>
      <c r="D123" s="481" t="s">
        <v>411</v>
      </c>
      <c r="E123" s="466" t="str">
        <f t="shared" si="1"/>
        <v>XL</v>
      </c>
      <c r="F123" s="467">
        <v>15</v>
      </c>
      <c r="G123" s="467" t="s">
        <v>28</v>
      </c>
      <c r="H123" s="467">
        <v>0</v>
      </c>
    </row>
    <row r="124" spans="1:8" s="478" customFormat="1" hidden="1">
      <c r="A124" s="473" t="s">
        <v>1538</v>
      </c>
      <c r="B124" s="477"/>
      <c r="C124" s="473" t="s">
        <v>1539</v>
      </c>
      <c r="D124" s="475" t="s">
        <v>411</v>
      </c>
      <c r="E124" s="466" t="str">
        <f t="shared" si="1"/>
        <v>XL</v>
      </c>
      <c r="F124" s="467">
        <v>14</v>
      </c>
      <c r="G124" s="467" t="s">
        <v>28</v>
      </c>
      <c r="H124" s="467" t="e">
        <v>#N/A</v>
      </c>
    </row>
    <row r="125" spans="1:8" s="478" customFormat="1" hidden="1">
      <c r="A125" s="473" t="s">
        <v>1540</v>
      </c>
      <c r="B125" s="477"/>
      <c r="C125" s="473" t="s">
        <v>1541</v>
      </c>
      <c r="D125" s="475" t="s">
        <v>411</v>
      </c>
      <c r="E125" s="466" t="str">
        <f t="shared" si="1"/>
        <v>XL</v>
      </c>
      <c r="F125" s="467">
        <v>14</v>
      </c>
      <c r="G125" s="467" t="s">
        <v>28</v>
      </c>
      <c r="H125" s="467" t="e">
        <v>#N/A</v>
      </c>
    </row>
    <row r="126" spans="1:8" s="478" customFormat="1" hidden="1">
      <c r="A126" s="473" t="s">
        <v>1542</v>
      </c>
      <c r="B126" s="477"/>
      <c r="C126" s="473" t="s">
        <v>1543</v>
      </c>
      <c r="D126" s="475" t="s">
        <v>411</v>
      </c>
      <c r="E126" s="466" t="str">
        <f t="shared" si="1"/>
        <v>XL</v>
      </c>
      <c r="F126" s="467">
        <v>14</v>
      </c>
      <c r="G126" s="467" t="s">
        <v>28</v>
      </c>
      <c r="H126" s="467" t="e">
        <v>#N/A</v>
      </c>
    </row>
    <row r="127" spans="1:8" s="478" customFormat="1" hidden="1">
      <c r="A127" s="473" t="s">
        <v>1544</v>
      </c>
      <c r="B127" s="477"/>
      <c r="C127" s="473" t="s">
        <v>1545</v>
      </c>
      <c r="D127" s="475" t="s">
        <v>411</v>
      </c>
      <c r="E127" s="466" t="str">
        <f t="shared" si="1"/>
        <v>XL</v>
      </c>
      <c r="F127" s="467">
        <v>14</v>
      </c>
      <c r="G127" s="467" t="s">
        <v>28</v>
      </c>
      <c r="H127" s="467" t="e">
        <v>#N/A</v>
      </c>
    </row>
    <row r="128" spans="1:8" s="478" customFormat="1" hidden="1">
      <c r="A128" s="473" t="s">
        <v>1546</v>
      </c>
      <c r="B128" s="477"/>
      <c r="C128" s="473" t="s">
        <v>1547</v>
      </c>
      <c r="D128" s="475" t="s">
        <v>411</v>
      </c>
      <c r="E128" s="466" t="str">
        <f t="shared" si="1"/>
        <v>XL</v>
      </c>
      <c r="F128" s="467">
        <v>14</v>
      </c>
      <c r="G128" s="467" t="s">
        <v>28</v>
      </c>
      <c r="H128" s="467" t="e">
        <v>#N/A</v>
      </c>
    </row>
    <row r="129" spans="1:8" s="478" customFormat="1" hidden="1">
      <c r="A129" s="473" t="s">
        <v>1548</v>
      </c>
      <c r="B129" s="477"/>
      <c r="C129" s="473" t="s">
        <v>1549</v>
      </c>
      <c r="D129" s="475" t="s">
        <v>411</v>
      </c>
      <c r="E129" s="466" t="str">
        <f t="shared" si="1"/>
        <v>XL</v>
      </c>
      <c r="F129" s="467">
        <v>14</v>
      </c>
      <c r="G129" s="467" t="s">
        <v>28</v>
      </c>
      <c r="H129" s="467" t="e">
        <v>#N/A</v>
      </c>
    </row>
    <row r="130" spans="1:8" s="478" customFormat="1" hidden="1">
      <c r="A130" s="473" t="s">
        <v>1550</v>
      </c>
      <c r="B130" s="477"/>
      <c r="C130" s="473" t="s">
        <v>1551</v>
      </c>
      <c r="D130" s="475" t="s">
        <v>411</v>
      </c>
      <c r="E130" s="466" t="str">
        <f t="shared" si="1"/>
        <v>XL</v>
      </c>
      <c r="F130" s="467">
        <v>14</v>
      </c>
      <c r="G130" s="467" t="s">
        <v>28</v>
      </c>
      <c r="H130" s="467" t="e">
        <v>#N/A</v>
      </c>
    </row>
    <row r="131" spans="1:8" s="478" customFormat="1" hidden="1">
      <c r="A131" s="473" t="s">
        <v>1552</v>
      </c>
      <c r="B131" s="477"/>
      <c r="C131" s="473" t="s">
        <v>1553</v>
      </c>
      <c r="D131" s="475" t="s">
        <v>411</v>
      </c>
      <c r="E131" s="466" t="str">
        <f t="shared" si="1"/>
        <v>XL</v>
      </c>
      <c r="F131" s="467">
        <v>14</v>
      </c>
      <c r="G131" s="467" t="s">
        <v>28</v>
      </c>
      <c r="H131" s="467" t="e">
        <v>#N/A</v>
      </c>
    </row>
    <row r="132" spans="1:8" s="478" customFormat="1" hidden="1">
      <c r="A132" s="473" t="s">
        <v>1554</v>
      </c>
      <c r="B132" s="477"/>
      <c r="C132" s="473" t="s">
        <v>1555</v>
      </c>
      <c r="D132" s="475" t="s">
        <v>411</v>
      </c>
      <c r="E132" s="466" t="str">
        <f t="shared" si="1"/>
        <v>XL</v>
      </c>
      <c r="F132" s="467">
        <v>14</v>
      </c>
      <c r="G132" s="467" t="s">
        <v>28</v>
      </c>
      <c r="H132" s="467" t="e">
        <v>#N/A</v>
      </c>
    </row>
    <row r="133" spans="1:8" s="478" customFormat="1" hidden="1">
      <c r="A133" s="473" t="s">
        <v>1556</v>
      </c>
      <c r="B133" s="477"/>
      <c r="C133" s="473" t="s">
        <v>1557</v>
      </c>
      <c r="D133" s="475" t="s">
        <v>411</v>
      </c>
      <c r="E133" s="466" t="str">
        <f t="shared" ref="E133:E197" si="2">LEFT(A133,2)</f>
        <v>XL</v>
      </c>
      <c r="F133" s="467">
        <v>14</v>
      </c>
      <c r="G133" s="467" t="s">
        <v>28</v>
      </c>
      <c r="H133" s="467" t="e">
        <v>#N/A</v>
      </c>
    </row>
    <row r="134" spans="1:8" s="478" customFormat="1" hidden="1">
      <c r="A134" s="473" t="s">
        <v>1558</v>
      </c>
      <c r="B134" s="477"/>
      <c r="C134" s="473" t="s">
        <v>1559</v>
      </c>
      <c r="D134" s="475" t="s">
        <v>411</v>
      </c>
      <c r="E134" s="466" t="str">
        <f t="shared" si="2"/>
        <v>XL</v>
      </c>
      <c r="F134" s="467">
        <v>14</v>
      </c>
      <c r="G134" s="467" t="s">
        <v>28</v>
      </c>
      <c r="H134" s="467" t="e">
        <v>#N/A</v>
      </c>
    </row>
    <row r="135" spans="1:8" s="478" customFormat="1" hidden="1">
      <c r="A135" s="473" t="s">
        <v>1560</v>
      </c>
      <c r="B135" s="477"/>
      <c r="C135" s="473" t="s">
        <v>1561</v>
      </c>
      <c r="D135" s="475" t="s">
        <v>411</v>
      </c>
      <c r="E135" s="466" t="str">
        <f t="shared" si="2"/>
        <v>XL</v>
      </c>
      <c r="F135" s="467">
        <v>14</v>
      </c>
      <c r="G135" s="467" t="s">
        <v>28</v>
      </c>
      <c r="H135" s="467" t="e">
        <v>#N/A</v>
      </c>
    </row>
    <row r="136" spans="1:8" s="478" customFormat="1" hidden="1">
      <c r="A136" s="473" t="s">
        <v>1170</v>
      </c>
      <c r="B136" s="477"/>
      <c r="C136" s="473" t="s">
        <v>1562</v>
      </c>
      <c r="D136" s="475" t="s">
        <v>411</v>
      </c>
      <c r="E136" s="466" t="str">
        <f t="shared" si="2"/>
        <v>XL</v>
      </c>
      <c r="F136" s="467">
        <v>14</v>
      </c>
      <c r="G136" s="467" t="s">
        <v>28</v>
      </c>
      <c r="H136" s="467">
        <v>0</v>
      </c>
    </row>
    <row r="137" spans="1:8" hidden="1">
      <c r="A137" s="469" t="s">
        <v>1563</v>
      </c>
      <c r="B137" s="485"/>
      <c r="C137" s="469" t="s">
        <v>1564</v>
      </c>
      <c r="D137" s="471" t="s">
        <v>411</v>
      </c>
      <c r="E137" s="466" t="str">
        <f t="shared" si="2"/>
        <v>XL</v>
      </c>
      <c r="F137" s="467">
        <v>14</v>
      </c>
      <c r="G137" s="467" t="s">
        <v>28</v>
      </c>
      <c r="H137" s="467" t="e">
        <v>#N/A</v>
      </c>
    </row>
    <row r="138" spans="1:8" s="478" customFormat="1" hidden="1">
      <c r="A138" s="469" t="s">
        <v>1565</v>
      </c>
      <c r="B138" s="485"/>
      <c r="C138" s="469" t="s">
        <v>1566</v>
      </c>
      <c r="D138" s="471" t="s">
        <v>411</v>
      </c>
      <c r="E138" s="466" t="str">
        <f t="shared" si="2"/>
        <v>XL</v>
      </c>
      <c r="F138" s="467">
        <v>14</v>
      </c>
      <c r="G138" s="467" t="s">
        <v>28</v>
      </c>
      <c r="H138" s="467" t="s">
        <v>411</v>
      </c>
    </row>
    <row r="139" spans="1:8" s="478" customFormat="1" hidden="1">
      <c r="A139" s="469" t="s">
        <v>1567</v>
      </c>
      <c r="B139" s="485"/>
      <c r="C139" s="469" t="s">
        <v>1568</v>
      </c>
      <c r="D139" s="471" t="s">
        <v>411</v>
      </c>
      <c r="E139" s="466" t="str">
        <f t="shared" si="2"/>
        <v>XL</v>
      </c>
      <c r="F139" s="467">
        <v>14</v>
      </c>
      <c r="G139" s="467" t="s">
        <v>28</v>
      </c>
      <c r="H139" s="467" t="e">
        <v>#N/A</v>
      </c>
    </row>
    <row r="140" spans="1:8" s="478" customFormat="1" hidden="1">
      <c r="A140" s="469" t="s">
        <v>1569</v>
      </c>
      <c r="B140" s="485"/>
      <c r="C140" s="469" t="s">
        <v>1570</v>
      </c>
      <c r="D140" s="471" t="s">
        <v>411</v>
      </c>
      <c r="E140" s="466" t="str">
        <f t="shared" si="2"/>
        <v>XL</v>
      </c>
      <c r="F140" s="467">
        <v>14</v>
      </c>
      <c r="G140" s="467" t="s">
        <v>28</v>
      </c>
      <c r="H140" s="467" t="e">
        <v>#N/A</v>
      </c>
    </row>
    <row r="141" spans="1:8" s="478" customFormat="1" hidden="1">
      <c r="A141" s="469" t="s">
        <v>1571</v>
      </c>
      <c r="B141" s="485"/>
      <c r="C141" s="469" t="s">
        <v>1572</v>
      </c>
      <c r="D141" s="471" t="s">
        <v>411</v>
      </c>
      <c r="E141" s="466" t="str">
        <f t="shared" si="2"/>
        <v>XL</v>
      </c>
      <c r="F141" s="467">
        <v>14</v>
      </c>
      <c r="G141" s="467" t="s">
        <v>28</v>
      </c>
      <c r="H141" s="467" t="e">
        <v>#N/A</v>
      </c>
    </row>
    <row r="142" spans="1:8" s="478" customFormat="1" hidden="1">
      <c r="A142" s="469" t="s">
        <v>1573</v>
      </c>
      <c r="B142" s="485"/>
      <c r="C142" s="469" t="s">
        <v>1574</v>
      </c>
      <c r="D142" s="471" t="s">
        <v>411</v>
      </c>
      <c r="E142" s="466" t="str">
        <f t="shared" si="2"/>
        <v>XL</v>
      </c>
      <c r="F142" s="467">
        <v>14</v>
      </c>
      <c r="G142" s="467" t="s">
        <v>28</v>
      </c>
      <c r="H142" s="467" t="e">
        <v>#N/A</v>
      </c>
    </row>
    <row r="143" spans="1:8" s="478" customFormat="1" hidden="1">
      <c r="A143" s="469" t="s">
        <v>1575</v>
      </c>
      <c r="B143" s="485"/>
      <c r="C143" s="469" t="s">
        <v>1576</v>
      </c>
      <c r="D143" s="471" t="s">
        <v>411</v>
      </c>
      <c r="E143" s="466" t="str">
        <f t="shared" si="2"/>
        <v>XL</v>
      </c>
      <c r="F143" s="467">
        <v>14</v>
      </c>
      <c r="G143" s="467" t="s">
        <v>28</v>
      </c>
      <c r="H143" s="467" t="e">
        <v>#N/A</v>
      </c>
    </row>
    <row r="144" spans="1:8" s="478" customFormat="1" hidden="1">
      <c r="A144" s="469" t="s">
        <v>1577</v>
      </c>
      <c r="B144" s="485"/>
      <c r="C144" s="469" t="s">
        <v>1578</v>
      </c>
      <c r="D144" s="471" t="s">
        <v>411</v>
      </c>
      <c r="E144" s="466" t="str">
        <f t="shared" si="2"/>
        <v>XL</v>
      </c>
      <c r="F144" s="467">
        <v>14</v>
      </c>
      <c r="G144" s="467" t="s">
        <v>28</v>
      </c>
      <c r="H144" s="467" t="e">
        <v>#N/A</v>
      </c>
    </row>
    <row r="145" spans="1:8" s="478" customFormat="1" hidden="1">
      <c r="A145" s="489" t="s">
        <v>1579</v>
      </c>
      <c r="B145" s="490"/>
      <c r="C145" s="489" t="s">
        <v>1580</v>
      </c>
      <c r="D145" s="491" t="s">
        <v>411</v>
      </c>
      <c r="E145" s="466" t="str">
        <f t="shared" si="2"/>
        <v>XL</v>
      </c>
      <c r="F145" s="467">
        <v>14</v>
      </c>
      <c r="G145" s="467" t="s">
        <v>28</v>
      </c>
      <c r="H145" s="467" t="e">
        <v>#N/A</v>
      </c>
    </row>
    <row r="146" spans="1:8" s="478" customFormat="1" hidden="1">
      <c r="A146" s="489" t="s">
        <v>1581</v>
      </c>
      <c r="B146" s="490"/>
      <c r="C146" s="489" t="s">
        <v>1582</v>
      </c>
      <c r="D146" s="491" t="s">
        <v>411</v>
      </c>
      <c r="E146" s="466" t="str">
        <f t="shared" si="2"/>
        <v>XL</v>
      </c>
      <c r="F146" s="467">
        <v>14</v>
      </c>
      <c r="G146" s="467" t="s">
        <v>28</v>
      </c>
      <c r="H146" s="467" t="e">
        <v>#N/A</v>
      </c>
    </row>
    <row r="147" spans="1:8" s="478" customFormat="1" hidden="1">
      <c r="A147" s="489" t="s">
        <v>1583</v>
      </c>
      <c r="B147" s="490"/>
      <c r="C147" s="489" t="s">
        <v>1584</v>
      </c>
      <c r="D147" s="491" t="s">
        <v>411</v>
      </c>
      <c r="E147" s="466" t="str">
        <f t="shared" si="2"/>
        <v>XL</v>
      </c>
      <c r="F147" s="467">
        <v>14</v>
      </c>
      <c r="G147" s="467" t="s">
        <v>28</v>
      </c>
      <c r="H147" s="467" t="s">
        <v>411</v>
      </c>
    </row>
    <row r="148" spans="1:8" s="478" customFormat="1" hidden="1">
      <c r="A148" s="489" t="s">
        <v>1585</v>
      </c>
      <c r="B148" s="490"/>
      <c r="C148" s="489" t="s">
        <v>1586</v>
      </c>
      <c r="D148" s="491" t="s">
        <v>411</v>
      </c>
      <c r="E148" s="466" t="str">
        <f t="shared" si="2"/>
        <v>XL</v>
      </c>
      <c r="F148" s="467">
        <v>14</v>
      </c>
      <c r="G148" s="467" t="s">
        <v>28</v>
      </c>
      <c r="H148" s="467" t="e">
        <v>#N/A</v>
      </c>
    </row>
    <row r="149" spans="1:8" hidden="1">
      <c r="A149" s="479" t="s">
        <v>1587</v>
      </c>
      <c r="B149" s="480"/>
      <c r="C149" s="479" t="s">
        <v>1588</v>
      </c>
      <c r="D149" s="481" t="s">
        <v>614</v>
      </c>
      <c r="E149" s="466" t="str">
        <f t="shared" si="2"/>
        <v>AC</v>
      </c>
      <c r="F149" s="467">
        <v>15</v>
      </c>
      <c r="G149" s="467" t="s">
        <v>28</v>
      </c>
      <c r="H149" s="467" t="e">
        <v>#N/A</v>
      </c>
    </row>
    <row r="150" spans="1:8" hidden="1">
      <c r="A150" s="479" t="s">
        <v>1589</v>
      </c>
      <c r="B150" s="480"/>
      <c r="C150" s="479" t="s">
        <v>1590</v>
      </c>
      <c r="D150" s="481" t="s">
        <v>614</v>
      </c>
      <c r="E150" s="466" t="str">
        <f t="shared" si="2"/>
        <v>AC</v>
      </c>
      <c r="F150" s="467">
        <v>15</v>
      </c>
      <c r="G150" s="467" t="s">
        <v>28</v>
      </c>
      <c r="H150" s="467" t="e">
        <v>#N/A</v>
      </c>
    </row>
    <row r="151" spans="1:8" hidden="1">
      <c r="A151" s="479" t="s">
        <v>1591</v>
      </c>
      <c r="B151" s="480"/>
      <c r="C151" s="479" t="s">
        <v>1592</v>
      </c>
      <c r="D151" s="481" t="s">
        <v>614</v>
      </c>
      <c r="E151" s="466" t="str">
        <f t="shared" si="2"/>
        <v>AC</v>
      </c>
      <c r="F151" s="467">
        <v>15</v>
      </c>
      <c r="G151" s="467" t="s">
        <v>28</v>
      </c>
      <c r="H151" s="467" t="e">
        <v>#N/A</v>
      </c>
    </row>
    <row r="152" spans="1:8" hidden="1">
      <c r="A152" s="482" t="s">
        <v>1593</v>
      </c>
      <c r="B152" s="483"/>
      <c r="C152" s="479" t="s">
        <v>1594</v>
      </c>
      <c r="D152" s="481" t="s">
        <v>614</v>
      </c>
      <c r="E152" s="466" t="str">
        <f t="shared" si="2"/>
        <v>AC</v>
      </c>
      <c r="F152" s="467">
        <v>15</v>
      </c>
      <c r="G152" s="467" t="s">
        <v>28</v>
      </c>
      <c r="H152" s="467" t="e">
        <v>#N/A</v>
      </c>
    </row>
    <row r="153" spans="1:8" hidden="1">
      <c r="A153" s="479" t="s">
        <v>1595</v>
      </c>
      <c r="B153" s="480"/>
      <c r="C153" s="479" t="s">
        <v>1596</v>
      </c>
      <c r="D153" s="481" t="s">
        <v>614</v>
      </c>
      <c r="E153" s="466" t="str">
        <f t="shared" si="2"/>
        <v>AC</v>
      </c>
      <c r="F153" s="467">
        <v>15</v>
      </c>
      <c r="G153" s="467" t="s">
        <v>28</v>
      </c>
      <c r="H153" s="467" t="e">
        <v>#N/A</v>
      </c>
    </row>
    <row r="154" spans="1:8" hidden="1">
      <c r="A154" s="479" t="s">
        <v>1597</v>
      </c>
      <c r="B154" s="480"/>
      <c r="C154" s="479" t="s">
        <v>1598</v>
      </c>
      <c r="D154" s="481" t="s">
        <v>614</v>
      </c>
      <c r="E154" s="466" t="str">
        <f t="shared" si="2"/>
        <v>AC</v>
      </c>
      <c r="F154" s="467">
        <v>15</v>
      </c>
      <c r="G154" s="467" t="s">
        <v>28</v>
      </c>
      <c r="H154" s="467" t="e">
        <v>#N/A</v>
      </c>
    </row>
    <row r="155" spans="1:8" hidden="1">
      <c r="A155" s="479" t="s">
        <v>1599</v>
      </c>
      <c r="B155" s="480"/>
      <c r="C155" s="479" t="s">
        <v>1600</v>
      </c>
      <c r="D155" s="481" t="s">
        <v>614</v>
      </c>
      <c r="E155" s="466" t="str">
        <f t="shared" si="2"/>
        <v>AC</v>
      </c>
      <c r="F155" s="467">
        <v>15</v>
      </c>
      <c r="G155" s="467" t="s">
        <v>28</v>
      </c>
      <c r="H155" s="467" t="e">
        <v>#N/A</v>
      </c>
    </row>
    <row r="156" spans="1:8" hidden="1">
      <c r="A156" s="479" t="s">
        <v>1601</v>
      </c>
      <c r="B156" s="480"/>
      <c r="C156" s="479" t="s">
        <v>1602</v>
      </c>
      <c r="D156" s="481" t="s">
        <v>614</v>
      </c>
      <c r="E156" s="466" t="str">
        <f t="shared" si="2"/>
        <v>AC</v>
      </c>
      <c r="F156" s="467">
        <v>15</v>
      </c>
      <c r="G156" s="467" t="s">
        <v>28</v>
      </c>
      <c r="H156" s="467" t="e">
        <v>#N/A</v>
      </c>
    </row>
    <row r="157" spans="1:8" s="478" customFormat="1" hidden="1">
      <c r="A157" s="473" t="s">
        <v>1603</v>
      </c>
      <c r="B157" s="477"/>
      <c r="C157" s="473" t="s">
        <v>1604</v>
      </c>
      <c r="D157" s="475" t="s">
        <v>411</v>
      </c>
      <c r="E157" s="466" t="str">
        <f t="shared" si="2"/>
        <v>AC</v>
      </c>
      <c r="F157" s="478">
        <v>11</v>
      </c>
      <c r="G157" s="467" t="s">
        <v>28</v>
      </c>
      <c r="H157" s="467" t="e">
        <v>#N/A</v>
      </c>
    </row>
    <row r="158" spans="1:8" s="478" customFormat="1" hidden="1">
      <c r="A158" s="473" t="s">
        <v>942</v>
      </c>
      <c r="B158" s="477"/>
      <c r="C158" s="473" t="s">
        <v>1605</v>
      </c>
      <c r="D158" s="475" t="s">
        <v>411</v>
      </c>
      <c r="E158" s="466" t="str">
        <f t="shared" si="2"/>
        <v>AC</v>
      </c>
      <c r="F158" s="478">
        <v>11</v>
      </c>
      <c r="G158" s="467" t="s">
        <v>28</v>
      </c>
      <c r="H158" s="467">
        <v>0</v>
      </c>
    </row>
    <row r="159" spans="1:8" s="478" customFormat="1" hidden="1">
      <c r="A159" s="469" t="s">
        <v>1606</v>
      </c>
      <c r="B159" s="470"/>
      <c r="C159" s="469" t="s">
        <v>1607</v>
      </c>
      <c r="D159" s="471" t="s">
        <v>614</v>
      </c>
      <c r="E159" s="466" t="str">
        <f t="shared" si="2"/>
        <v>AC</v>
      </c>
      <c r="F159" s="467">
        <v>15</v>
      </c>
      <c r="G159" s="467" t="s">
        <v>28</v>
      </c>
      <c r="H159" s="467" t="e">
        <v>#N/A</v>
      </c>
    </row>
    <row r="160" spans="1:8" s="478" customFormat="1" hidden="1">
      <c r="A160" s="469" t="s">
        <v>941</v>
      </c>
      <c r="B160" s="470"/>
      <c r="C160" s="469" t="s">
        <v>1608</v>
      </c>
      <c r="D160" s="471" t="s">
        <v>614</v>
      </c>
      <c r="E160" s="466" t="str">
        <f t="shared" si="2"/>
        <v>AC</v>
      </c>
      <c r="F160" s="467">
        <v>15</v>
      </c>
      <c r="G160" s="467" t="s">
        <v>28</v>
      </c>
      <c r="H160" s="467">
        <v>0</v>
      </c>
    </row>
    <row r="161" spans="1:8" s="478" customFormat="1" hidden="1">
      <c r="A161" s="469" t="s">
        <v>940</v>
      </c>
      <c r="B161" s="470"/>
      <c r="C161" s="469" t="s">
        <v>1609</v>
      </c>
      <c r="D161" s="471" t="s">
        <v>614</v>
      </c>
      <c r="E161" s="466" t="str">
        <f t="shared" si="2"/>
        <v>AC</v>
      </c>
      <c r="F161" s="467">
        <v>15</v>
      </c>
      <c r="G161" s="467" t="s">
        <v>28</v>
      </c>
      <c r="H161" s="467">
        <v>0</v>
      </c>
    </row>
    <row r="162" spans="1:8" s="478" customFormat="1" hidden="1">
      <c r="A162" s="484" t="s">
        <v>939</v>
      </c>
      <c r="B162" s="485"/>
      <c r="C162" s="469" t="s">
        <v>1610</v>
      </c>
      <c r="D162" s="471" t="s">
        <v>614</v>
      </c>
      <c r="E162" s="466" t="str">
        <f t="shared" si="2"/>
        <v>AC</v>
      </c>
      <c r="F162" s="467">
        <v>15</v>
      </c>
      <c r="G162" s="467" t="s">
        <v>28</v>
      </c>
      <c r="H162" s="467">
        <v>0</v>
      </c>
    </row>
    <row r="163" spans="1:8" s="478" customFormat="1" hidden="1">
      <c r="A163" s="469" t="s">
        <v>938</v>
      </c>
      <c r="B163" s="470"/>
      <c r="C163" s="469" t="s">
        <v>1611</v>
      </c>
      <c r="D163" s="471" t="s">
        <v>614</v>
      </c>
      <c r="E163" s="466" t="str">
        <f t="shared" si="2"/>
        <v>AC</v>
      </c>
      <c r="F163" s="467">
        <v>15</v>
      </c>
      <c r="G163" s="467" t="s">
        <v>28</v>
      </c>
      <c r="H163" s="467">
        <v>0</v>
      </c>
    </row>
    <row r="164" spans="1:8" s="478" customFormat="1" hidden="1">
      <c r="A164" s="469" t="s">
        <v>937</v>
      </c>
      <c r="B164" s="470"/>
      <c r="C164" s="469" t="s">
        <v>1612</v>
      </c>
      <c r="D164" s="471" t="s">
        <v>614</v>
      </c>
      <c r="E164" s="466" t="str">
        <f t="shared" si="2"/>
        <v>AC</v>
      </c>
      <c r="F164" s="467">
        <v>15</v>
      </c>
      <c r="G164" s="467" t="s">
        <v>28</v>
      </c>
      <c r="H164" s="467">
        <v>0</v>
      </c>
    </row>
    <row r="165" spans="1:8" s="478" customFormat="1" hidden="1">
      <c r="A165" s="469" t="s">
        <v>936</v>
      </c>
      <c r="B165" s="470"/>
      <c r="C165" s="469" t="s">
        <v>1613</v>
      </c>
      <c r="D165" s="471" t="s">
        <v>614</v>
      </c>
      <c r="E165" s="466" t="str">
        <f t="shared" si="2"/>
        <v>AC</v>
      </c>
      <c r="F165" s="467">
        <v>15</v>
      </c>
      <c r="G165" s="467" t="s">
        <v>28</v>
      </c>
      <c r="H165" s="467">
        <v>0</v>
      </c>
    </row>
    <row r="166" spans="1:8" s="478" customFormat="1" hidden="1">
      <c r="A166" s="469" t="s">
        <v>935</v>
      </c>
      <c r="B166" s="470"/>
      <c r="C166" s="469" t="s">
        <v>1614</v>
      </c>
      <c r="D166" s="471" t="s">
        <v>614</v>
      </c>
      <c r="E166" s="466" t="str">
        <f t="shared" si="2"/>
        <v>AC</v>
      </c>
      <c r="F166" s="467">
        <v>15</v>
      </c>
      <c r="G166" s="467" t="s">
        <v>28</v>
      </c>
      <c r="H166" s="467">
        <v>0</v>
      </c>
    </row>
    <row r="167" spans="1:8" s="478" customFormat="1" hidden="1">
      <c r="A167" s="473" t="s">
        <v>1615</v>
      </c>
      <c r="B167" s="477"/>
      <c r="C167" s="473" t="s">
        <v>1616</v>
      </c>
      <c r="D167" s="475" t="s">
        <v>411</v>
      </c>
      <c r="E167" s="466" t="str">
        <f t="shared" si="2"/>
        <v>av</v>
      </c>
      <c r="F167" s="467">
        <v>14</v>
      </c>
      <c r="G167" s="467" t="s">
        <v>28</v>
      </c>
      <c r="H167" s="467" t="e">
        <v>#N/A</v>
      </c>
    </row>
    <row r="168" spans="1:8" s="478" customFormat="1" hidden="1">
      <c r="A168" s="473" t="s">
        <v>1617</v>
      </c>
      <c r="B168" s="477"/>
      <c r="C168" s="473" t="s">
        <v>1618</v>
      </c>
      <c r="D168" s="475" t="s">
        <v>411</v>
      </c>
      <c r="E168" s="466" t="str">
        <f t="shared" si="2"/>
        <v>av</v>
      </c>
      <c r="F168" s="467">
        <v>14</v>
      </c>
      <c r="G168" s="467" t="s">
        <v>28</v>
      </c>
      <c r="H168" s="467">
        <v>0</v>
      </c>
    </row>
    <row r="169" spans="1:8" s="478" customFormat="1" hidden="1">
      <c r="A169" s="473" t="s">
        <v>1619</v>
      </c>
      <c r="B169" s="477"/>
      <c r="C169" s="473" t="s">
        <v>1620</v>
      </c>
      <c r="D169" s="475" t="s">
        <v>411</v>
      </c>
      <c r="E169" s="466" t="str">
        <f t="shared" si="2"/>
        <v>av</v>
      </c>
      <c r="F169" s="467">
        <v>14</v>
      </c>
      <c r="G169" s="467" t="s">
        <v>28</v>
      </c>
      <c r="H169" s="467" t="e">
        <v>#N/A</v>
      </c>
    </row>
    <row r="170" spans="1:8" s="478" customFormat="1" hidden="1">
      <c r="A170" s="473" t="s">
        <v>1621</v>
      </c>
      <c r="B170" s="477"/>
      <c r="C170" s="473" t="s">
        <v>1622</v>
      </c>
      <c r="D170" s="475" t="s">
        <v>411</v>
      </c>
      <c r="E170" s="466" t="str">
        <f t="shared" si="2"/>
        <v>av</v>
      </c>
      <c r="F170" s="467">
        <v>14</v>
      </c>
      <c r="G170" s="467" t="s">
        <v>28</v>
      </c>
      <c r="H170" s="467">
        <v>0</v>
      </c>
    </row>
    <row r="171" spans="1:8" s="478" customFormat="1" hidden="1">
      <c r="A171" s="473" t="s">
        <v>1623</v>
      </c>
      <c r="B171" s="477"/>
      <c r="C171" s="473" t="s">
        <v>1624</v>
      </c>
      <c r="D171" s="475" t="s">
        <v>411</v>
      </c>
      <c r="E171" s="466" t="str">
        <f t="shared" si="2"/>
        <v>av</v>
      </c>
      <c r="F171" s="467">
        <v>14</v>
      </c>
      <c r="G171" s="467" t="s">
        <v>28</v>
      </c>
      <c r="H171" s="467" t="e">
        <v>#N/A</v>
      </c>
    </row>
    <row r="172" spans="1:8" s="478" customFormat="1" hidden="1">
      <c r="A172" s="473" t="s">
        <v>1625</v>
      </c>
      <c r="B172" s="477"/>
      <c r="C172" s="473" t="s">
        <v>1626</v>
      </c>
      <c r="D172" s="475" t="s">
        <v>411</v>
      </c>
      <c r="E172" s="466" t="str">
        <f t="shared" si="2"/>
        <v>av</v>
      </c>
      <c r="F172" s="467">
        <v>14</v>
      </c>
      <c r="G172" s="467" t="s">
        <v>28</v>
      </c>
      <c r="H172" s="467" t="e">
        <v>#N/A</v>
      </c>
    </row>
    <row r="173" spans="1:8" s="478" customFormat="1" hidden="1">
      <c r="A173" s="473" t="s">
        <v>1627</v>
      </c>
      <c r="B173" s="477"/>
      <c r="C173" s="473" t="s">
        <v>1628</v>
      </c>
      <c r="D173" s="475" t="s">
        <v>411</v>
      </c>
      <c r="E173" s="466" t="str">
        <f t="shared" si="2"/>
        <v>av</v>
      </c>
      <c r="F173" s="467">
        <v>14</v>
      </c>
      <c r="G173" s="467" t="s">
        <v>28</v>
      </c>
      <c r="H173" s="467" t="e">
        <v>#N/A</v>
      </c>
    </row>
    <row r="174" spans="1:8" s="478" customFormat="1" hidden="1">
      <c r="A174" s="473" t="s">
        <v>1629</v>
      </c>
      <c r="B174" s="477"/>
      <c r="C174" s="473" t="s">
        <v>1630</v>
      </c>
      <c r="D174" s="475" t="s">
        <v>411</v>
      </c>
      <c r="E174" s="466" t="str">
        <f t="shared" si="2"/>
        <v>av</v>
      </c>
      <c r="F174" s="467">
        <v>14</v>
      </c>
      <c r="G174" s="467" t="s">
        <v>28</v>
      </c>
      <c r="H174" s="467" t="e">
        <v>#N/A</v>
      </c>
    </row>
    <row r="175" spans="1:8" s="478" customFormat="1" hidden="1">
      <c r="A175" s="473" t="s">
        <v>1631</v>
      </c>
      <c r="B175" s="477"/>
      <c r="C175" s="473" t="s">
        <v>1632</v>
      </c>
      <c r="D175" s="475" t="s">
        <v>411</v>
      </c>
      <c r="E175" s="466" t="str">
        <f t="shared" si="2"/>
        <v>av</v>
      </c>
      <c r="F175" s="467">
        <v>14</v>
      </c>
      <c r="G175" s="467" t="s">
        <v>28</v>
      </c>
      <c r="H175" s="467" t="e">
        <v>#N/A</v>
      </c>
    </row>
    <row r="176" spans="1:8" s="478" customFormat="1" hidden="1">
      <c r="A176" s="492" t="s">
        <v>1164</v>
      </c>
      <c r="B176" s="493"/>
      <c r="C176" s="494" t="s">
        <v>1633</v>
      </c>
      <c r="D176" s="495" t="s">
        <v>411</v>
      </c>
      <c r="E176" s="466" t="str">
        <f t="shared" si="2"/>
        <v>AB</v>
      </c>
      <c r="F176" s="467">
        <v>14</v>
      </c>
      <c r="G176" s="467" t="s">
        <v>28</v>
      </c>
      <c r="H176" s="467">
        <v>0</v>
      </c>
    </row>
    <row r="177" spans="1:8" s="478" customFormat="1" hidden="1">
      <c r="A177" s="492" t="s">
        <v>1165</v>
      </c>
      <c r="B177" s="493"/>
      <c r="C177" s="494" t="s">
        <v>1634</v>
      </c>
      <c r="D177" s="495" t="s">
        <v>411</v>
      </c>
      <c r="E177" s="466" t="str">
        <f t="shared" si="2"/>
        <v>AB</v>
      </c>
      <c r="F177" s="467">
        <v>14</v>
      </c>
      <c r="G177" s="467" t="s">
        <v>28</v>
      </c>
      <c r="H177" s="467">
        <v>0</v>
      </c>
    </row>
    <row r="178" spans="1:8" s="478" customFormat="1" hidden="1">
      <c r="A178" s="492" t="s">
        <v>1166</v>
      </c>
      <c r="B178" s="493"/>
      <c r="C178" s="494" t="s">
        <v>1635</v>
      </c>
      <c r="D178" s="495" t="s">
        <v>411</v>
      </c>
      <c r="E178" s="466" t="str">
        <f t="shared" si="2"/>
        <v>AB</v>
      </c>
      <c r="F178" s="467">
        <v>14</v>
      </c>
      <c r="G178" s="467" t="s">
        <v>28</v>
      </c>
      <c r="H178" s="467">
        <v>0</v>
      </c>
    </row>
    <row r="179" spans="1:8" s="478" customFormat="1" hidden="1">
      <c r="A179" s="492" t="s">
        <v>1636</v>
      </c>
      <c r="B179" s="493"/>
      <c r="C179" s="494" t="s">
        <v>1637</v>
      </c>
      <c r="D179" s="495" t="s">
        <v>411</v>
      </c>
      <c r="E179" s="466" t="str">
        <f t="shared" si="2"/>
        <v>AB</v>
      </c>
      <c r="F179" s="467">
        <v>14</v>
      </c>
      <c r="G179" s="467" t="s">
        <v>28</v>
      </c>
      <c r="H179" s="467" t="e">
        <v>#N/A</v>
      </c>
    </row>
    <row r="180" spans="1:8" s="478" customFormat="1" hidden="1">
      <c r="A180" s="492" t="s">
        <v>1167</v>
      </c>
      <c r="B180" s="493"/>
      <c r="C180" s="494" t="s">
        <v>1638</v>
      </c>
      <c r="D180" s="495" t="s">
        <v>411</v>
      </c>
      <c r="E180" s="466" t="str">
        <f t="shared" si="2"/>
        <v>AB</v>
      </c>
      <c r="F180" s="467">
        <v>14</v>
      </c>
      <c r="G180" s="467" t="s">
        <v>28</v>
      </c>
      <c r="H180" s="467">
        <v>0</v>
      </c>
    </row>
    <row r="181" spans="1:8" s="478" customFormat="1" hidden="1">
      <c r="A181" s="492" t="s">
        <v>1168</v>
      </c>
      <c r="B181" s="493"/>
      <c r="C181" s="494" t="s">
        <v>1639</v>
      </c>
      <c r="D181" s="495" t="s">
        <v>411</v>
      </c>
      <c r="E181" s="466" t="str">
        <f>LEFT(A181,2)</f>
        <v>AB</v>
      </c>
      <c r="F181" s="467">
        <v>14</v>
      </c>
      <c r="G181" s="467" t="s">
        <v>28</v>
      </c>
      <c r="H181" s="467">
        <v>0</v>
      </c>
    </row>
    <row r="182" spans="1:8" s="478" customFormat="1" hidden="1">
      <c r="A182" s="492" t="s">
        <v>1640</v>
      </c>
      <c r="B182" s="493"/>
      <c r="C182" s="494" t="s">
        <v>1641</v>
      </c>
      <c r="D182" s="495" t="s">
        <v>411</v>
      </c>
      <c r="E182" s="466" t="str">
        <f t="shared" si="2"/>
        <v>AB</v>
      </c>
      <c r="F182" s="467">
        <v>14</v>
      </c>
      <c r="G182" s="467" t="s">
        <v>28</v>
      </c>
      <c r="H182" s="467" t="e">
        <v>#N/A</v>
      </c>
    </row>
    <row r="183" spans="1:8" s="478" customFormat="1" hidden="1">
      <c r="A183" s="492" t="s">
        <v>1169</v>
      </c>
      <c r="B183" s="493"/>
      <c r="C183" s="494" t="s">
        <v>1642</v>
      </c>
      <c r="D183" s="495" t="s">
        <v>411</v>
      </c>
      <c r="E183" s="466" t="str">
        <f t="shared" si="2"/>
        <v>AB</v>
      </c>
      <c r="F183" s="467">
        <v>14</v>
      </c>
      <c r="G183" s="467" t="s">
        <v>28</v>
      </c>
      <c r="H183" s="467">
        <v>0</v>
      </c>
    </row>
    <row r="184" spans="1:8" s="478" customFormat="1" hidden="1">
      <c r="A184" s="496" t="s">
        <v>1258</v>
      </c>
      <c r="B184" s="497" t="s">
        <v>1643</v>
      </c>
      <c r="C184" s="496" t="s">
        <v>1644</v>
      </c>
      <c r="D184" s="498" t="s">
        <v>411</v>
      </c>
      <c r="E184" s="466" t="str">
        <f t="shared" si="2"/>
        <v>CV</v>
      </c>
      <c r="F184" s="478">
        <v>9</v>
      </c>
      <c r="G184" s="467" t="s">
        <v>28</v>
      </c>
      <c r="H184" s="467">
        <v>0</v>
      </c>
    </row>
    <row r="185" spans="1:8" hidden="1">
      <c r="A185" s="496" t="s">
        <v>1645</v>
      </c>
      <c r="B185" s="497" t="s">
        <v>1643</v>
      </c>
      <c r="C185" s="499" t="s">
        <v>1646</v>
      </c>
      <c r="D185" s="498" t="s">
        <v>411</v>
      </c>
      <c r="E185" s="466" t="str">
        <f t="shared" si="2"/>
        <v>CV</v>
      </c>
      <c r="F185" s="478">
        <v>9</v>
      </c>
      <c r="G185" s="467" t="s">
        <v>28</v>
      </c>
      <c r="H185" s="467" t="e">
        <v>#N/A</v>
      </c>
    </row>
    <row r="186" spans="1:8" s="478" customFormat="1" hidden="1">
      <c r="A186" s="496" t="s">
        <v>1325</v>
      </c>
      <c r="B186" s="497" t="s">
        <v>1643</v>
      </c>
      <c r="C186" s="496" t="s">
        <v>1647</v>
      </c>
      <c r="D186" s="498" t="s">
        <v>411</v>
      </c>
      <c r="E186" s="466" t="str">
        <f t="shared" si="2"/>
        <v>CV</v>
      </c>
      <c r="F186" s="478">
        <v>9</v>
      </c>
      <c r="G186" s="467" t="s">
        <v>28</v>
      </c>
      <c r="H186" s="467">
        <v>0</v>
      </c>
    </row>
    <row r="187" spans="1:8" hidden="1">
      <c r="A187" s="463" t="s">
        <v>1337</v>
      </c>
      <c r="B187" s="497"/>
      <c r="C187" s="496" t="s">
        <v>1648</v>
      </c>
      <c r="D187" s="498" t="s">
        <v>411</v>
      </c>
      <c r="E187" s="466" t="str">
        <f t="shared" si="2"/>
        <v>M5</v>
      </c>
      <c r="F187" s="467">
        <v>50</v>
      </c>
      <c r="G187" s="467" t="s">
        <v>28</v>
      </c>
      <c r="H187" s="467">
        <v>0</v>
      </c>
    </row>
    <row r="188" spans="1:8" s="478" customFormat="1" hidden="1">
      <c r="A188" s="496" t="s">
        <v>1649</v>
      </c>
      <c r="B188" s="497" t="s">
        <v>1643</v>
      </c>
      <c r="C188" s="496" t="s">
        <v>1650</v>
      </c>
      <c r="D188" s="498" t="s">
        <v>411</v>
      </c>
      <c r="E188" s="466" t="str">
        <f t="shared" si="2"/>
        <v>CV</v>
      </c>
      <c r="F188" s="478">
        <v>9</v>
      </c>
      <c r="G188" s="467" t="s">
        <v>28</v>
      </c>
      <c r="H188" s="467" t="s">
        <v>411</v>
      </c>
    </row>
    <row r="189" spans="1:8" s="478" customFormat="1" hidden="1">
      <c r="A189" s="469" t="s">
        <v>1257</v>
      </c>
      <c r="B189" s="500" t="s">
        <v>1651</v>
      </c>
      <c r="C189" s="469" t="s">
        <v>1652</v>
      </c>
      <c r="D189" s="471" t="s">
        <v>411</v>
      </c>
      <c r="E189" s="466" t="str">
        <f t="shared" si="2"/>
        <v>CV</v>
      </c>
      <c r="F189" s="478">
        <v>8</v>
      </c>
      <c r="G189" s="467" t="s">
        <v>28</v>
      </c>
      <c r="H189" s="467">
        <v>0</v>
      </c>
    </row>
    <row r="190" spans="1:8" s="478" customFormat="1" hidden="1">
      <c r="A190" s="469" t="s">
        <v>1653</v>
      </c>
      <c r="B190" s="500" t="s">
        <v>1651</v>
      </c>
      <c r="C190" s="469" t="s">
        <v>1654</v>
      </c>
      <c r="D190" s="471" t="s">
        <v>411</v>
      </c>
      <c r="E190" s="466" t="str">
        <f t="shared" si="2"/>
        <v>cv</v>
      </c>
      <c r="F190" s="478">
        <v>8</v>
      </c>
      <c r="G190" s="467" t="s">
        <v>28</v>
      </c>
      <c r="H190" s="467" t="e">
        <v>#N/A</v>
      </c>
    </row>
    <row r="191" spans="1:8" s="478" customFormat="1" hidden="1">
      <c r="A191" s="469" t="s">
        <v>1655</v>
      </c>
      <c r="B191" s="500" t="s">
        <v>1651</v>
      </c>
      <c r="C191" s="469" t="s">
        <v>1656</v>
      </c>
      <c r="D191" s="471" t="s">
        <v>411</v>
      </c>
      <c r="E191" s="466" t="str">
        <f t="shared" si="2"/>
        <v>cv</v>
      </c>
      <c r="F191" s="478">
        <v>8</v>
      </c>
      <c r="G191" s="467" t="s">
        <v>28</v>
      </c>
      <c r="H191" s="467">
        <v>0</v>
      </c>
    </row>
    <row r="192" spans="1:8" s="478" customFormat="1" hidden="1">
      <c r="A192" s="469" t="s">
        <v>1171</v>
      </c>
      <c r="B192" s="500"/>
      <c r="C192" s="469" t="s">
        <v>1657</v>
      </c>
      <c r="D192" s="471" t="s">
        <v>411</v>
      </c>
      <c r="E192" s="466" t="str">
        <f t="shared" si="2"/>
        <v>cv</v>
      </c>
      <c r="F192" s="478">
        <v>8</v>
      </c>
      <c r="G192" s="467" t="s">
        <v>28</v>
      </c>
      <c r="H192" s="467">
        <v>0</v>
      </c>
    </row>
    <row r="193" spans="1:8" s="478" customFormat="1" hidden="1">
      <c r="A193" s="469" t="s">
        <v>1658</v>
      </c>
      <c r="B193" s="500"/>
      <c r="C193" s="469" t="s">
        <v>1659</v>
      </c>
      <c r="D193" s="471" t="s">
        <v>411</v>
      </c>
      <c r="E193" s="466" t="str">
        <f t="shared" si="2"/>
        <v>cv</v>
      </c>
      <c r="F193" s="478">
        <v>8</v>
      </c>
      <c r="G193" s="467" t="s">
        <v>28</v>
      </c>
      <c r="H193" s="467" t="s">
        <v>411</v>
      </c>
    </row>
    <row r="194" spans="1:8" s="478" customFormat="1" hidden="1">
      <c r="A194" s="469" t="s">
        <v>1660</v>
      </c>
      <c r="B194" s="500"/>
      <c r="C194" s="469" t="s">
        <v>1661</v>
      </c>
      <c r="D194" s="471" t="s">
        <v>411</v>
      </c>
      <c r="E194" s="466" t="str">
        <f t="shared" si="2"/>
        <v>cv</v>
      </c>
      <c r="F194" s="478">
        <v>8</v>
      </c>
      <c r="G194" s="467" t="s">
        <v>28</v>
      </c>
      <c r="H194" s="467" t="s">
        <v>411</v>
      </c>
    </row>
    <row r="195" spans="1:8" s="478" customFormat="1" hidden="1">
      <c r="A195" s="469" t="s">
        <v>1662</v>
      </c>
      <c r="B195" s="500"/>
      <c r="C195" s="469" t="s">
        <v>1663</v>
      </c>
      <c r="D195" s="471" t="s">
        <v>411</v>
      </c>
      <c r="E195" s="466" t="str">
        <f t="shared" si="2"/>
        <v>cv</v>
      </c>
      <c r="F195" s="478">
        <v>8</v>
      </c>
      <c r="G195" s="467" t="s">
        <v>28</v>
      </c>
      <c r="H195" s="467" t="s">
        <v>411</v>
      </c>
    </row>
    <row r="196" spans="1:8" s="478" customFormat="1" hidden="1">
      <c r="A196" s="469" t="s">
        <v>1206</v>
      </c>
      <c r="B196" s="500"/>
      <c r="C196" s="469" t="s">
        <v>1664</v>
      </c>
      <c r="D196" s="471" t="s">
        <v>411</v>
      </c>
      <c r="E196" s="466" t="str">
        <f t="shared" si="2"/>
        <v>cv</v>
      </c>
      <c r="F196" s="478">
        <v>8</v>
      </c>
      <c r="G196" s="467" t="s">
        <v>28</v>
      </c>
      <c r="H196" s="467">
        <v>0</v>
      </c>
    </row>
    <row r="197" spans="1:8" s="478" customFormat="1" hidden="1">
      <c r="A197" s="469" t="s">
        <v>1665</v>
      </c>
      <c r="B197" s="485"/>
      <c r="C197" s="469" t="s">
        <v>1666</v>
      </c>
      <c r="D197" s="471" t="s">
        <v>411</v>
      </c>
      <c r="E197" s="466" t="str">
        <f t="shared" si="2"/>
        <v>cv</v>
      </c>
      <c r="F197" s="478">
        <v>8</v>
      </c>
      <c r="G197" s="467" t="s">
        <v>28</v>
      </c>
      <c r="H197" s="467" t="s">
        <v>411</v>
      </c>
    </row>
    <row r="198" spans="1:8" s="478" customFormat="1" hidden="1">
      <c r="A198" s="469" t="s">
        <v>1667</v>
      </c>
      <c r="B198" s="485"/>
      <c r="C198" s="469" t="s">
        <v>1668</v>
      </c>
      <c r="D198" s="471" t="s">
        <v>411</v>
      </c>
      <c r="E198" s="466" t="str">
        <f t="shared" ref="E198:E263" si="3">LEFT(A198,2)</f>
        <v>cv</v>
      </c>
      <c r="F198" s="478">
        <v>8</v>
      </c>
      <c r="G198" s="467" t="s">
        <v>28</v>
      </c>
      <c r="H198" s="467" t="s">
        <v>411</v>
      </c>
    </row>
    <row r="199" spans="1:8" s="478" customFormat="1" hidden="1">
      <c r="A199" s="469" t="s">
        <v>1669</v>
      </c>
      <c r="B199" s="485"/>
      <c r="C199" s="469" t="s">
        <v>1670</v>
      </c>
      <c r="D199" s="471" t="s">
        <v>411</v>
      </c>
      <c r="E199" s="466" t="str">
        <f t="shared" si="3"/>
        <v>cv</v>
      </c>
      <c r="F199" s="478">
        <v>8</v>
      </c>
      <c r="G199" s="467" t="s">
        <v>28</v>
      </c>
      <c r="H199" s="467" t="s">
        <v>411</v>
      </c>
    </row>
    <row r="200" spans="1:8" s="478" customFormat="1" hidden="1">
      <c r="A200" s="469" t="s">
        <v>1671</v>
      </c>
      <c r="B200" s="485"/>
      <c r="C200" s="469" t="s">
        <v>1672</v>
      </c>
      <c r="D200" s="471" t="s">
        <v>411</v>
      </c>
      <c r="E200" s="466" t="str">
        <f t="shared" si="3"/>
        <v>cv</v>
      </c>
      <c r="F200" s="478">
        <v>8</v>
      </c>
      <c r="G200" s="467" t="s">
        <v>28</v>
      </c>
      <c r="H200" s="467" t="s">
        <v>411</v>
      </c>
    </row>
    <row r="201" spans="1:8" s="478" customFormat="1" hidden="1">
      <c r="A201" s="469" t="s">
        <v>1673</v>
      </c>
      <c r="B201" s="485"/>
      <c r="C201" s="469" t="s">
        <v>1674</v>
      </c>
      <c r="D201" s="471" t="s">
        <v>411</v>
      </c>
      <c r="E201" s="466" t="str">
        <f t="shared" si="3"/>
        <v>cv</v>
      </c>
      <c r="F201" s="478">
        <v>8</v>
      </c>
      <c r="G201" s="467" t="s">
        <v>28</v>
      </c>
      <c r="H201" s="467" t="e">
        <v>#N/A</v>
      </c>
    </row>
    <row r="202" spans="1:8" s="478" customFormat="1" hidden="1">
      <c r="A202" s="469" t="s">
        <v>1675</v>
      </c>
      <c r="B202" s="485"/>
      <c r="C202" s="469" t="s">
        <v>1676</v>
      </c>
      <c r="D202" s="471" t="s">
        <v>411</v>
      </c>
      <c r="E202" s="466" t="str">
        <f t="shared" si="3"/>
        <v>cv</v>
      </c>
      <c r="F202" s="478">
        <v>8</v>
      </c>
      <c r="G202" s="467" t="s">
        <v>28</v>
      </c>
      <c r="H202" s="467" t="s">
        <v>411</v>
      </c>
    </row>
    <row r="203" spans="1:8" s="478" customFormat="1" hidden="1">
      <c r="A203" s="469" t="s">
        <v>1677</v>
      </c>
      <c r="B203" s="485"/>
      <c r="C203" s="469" t="s">
        <v>1678</v>
      </c>
      <c r="D203" s="471" t="s">
        <v>411</v>
      </c>
      <c r="E203" s="466" t="str">
        <f t="shared" si="3"/>
        <v>cv</v>
      </c>
      <c r="F203" s="478">
        <v>8</v>
      </c>
      <c r="G203" s="467" t="s">
        <v>28</v>
      </c>
      <c r="H203" s="467" t="s">
        <v>411</v>
      </c>
    </row>
    <row r="204" spans="1:8" s="478" customFormat="1" hidden="1">
      <c r="A204" s="469" t="s">
        <v>1679</v>
      </c>
      <c r="B204" s="485"/>
      <c r="C204" s="469" t="s">
        <v>1680</v>
      </c>
      <c r="D204" s="471" t="s">
        <v>411</v>
      </c>
      <c r="E204" s="466" t="str">
        <f t="shared" si="3"/>
        <v>cv</v>
      </c>
      <c r="F204" s="478">
        <v>8</v>
      </c>
      <c r="G204" s="467" t="s">
        <v>28</v>
      </c>
      <c r="H204" s="467" t="e">
        <v>#N/A</v>
      </c>
    </row>
    <row r="205" spans="1:8" hidden="1">
      <c r="A205" s="473" t="s">
        <v>1681</v>
      </c>
      <c r="B205" s="477"/>
      <c r="C205" s="473" t="s">
        <v>1682</v>
      </c>
      <c r="D205" s="475" t="s">
        <v>411</v>
      </c>
      <c r="E205" s="466" t="str">
        <f t="shared" si="3"/>
        <v>ac</v>
      </c>
      <c r="F205" s="467">
        <v>13</v>
      </c>
      <c r="G205" s="467" t="s">
        <v>28</v>
      </c>
      <c r="H205" s="467" t="e">
        <v>#N/A</v>
      </c>
    </row>
    <row r="206" spans="1:8" hidden="1">
      <c r="A206" s="473" t="s">
        <v>1683</v>
      </c>
      <c r="B206" s="477"/>
      <c r="C206" s="473" t="s">
        <v>1684</v>
      </c>
      <c r="D206" s="475" t="s">
        <v>411</v>
      </c>
      <c r="E206" s="466" t="str">
        <f t="shared" si="3"/>
        <v>ac</v>
      </c>
      <c r="F206" s="467">
        <v>13</v>
      </c>
      <c r="G206" s="467" t="s">
        <v>28</v>
      </c>
      <c r="H206" s="467" t="e">
        <v>#N/A</v>
      </c>
    </row>
    <row r="207" spans="1:8" hidden="1">
      <c r="A207" s="473" t="s">
        <v>1685</v>
      </c>
      <c r="B207" s="477"/>
      <c r="C207" s="473" t="s">
        <v>1686</v>
      </c>
      <c r="D207" s="475" t="s">
        <v>411</v>
      </c>
      <c r="E207" s="466" t="str">
        <f t="shared" si="3"/>
        <v>ac</v>
      </c>
      <c r="F207" s="467">
        <v>13</v>
      </c>
      <c r="G207" s="467" t="s">
        <v>28</v>
      </c>
      <c r="H207" s="467" t="e">
        <v>#N/A</v>
      </c>
    </row>
    <row r="208" spans="1:8" hidden="1">
      <c r="A208" s="473" t="s">
        <v>1687</v>
      </c>
      <c r="B208" s="477"/>
      <c r="C208" s="473" t="s">
        <v>1688</v>
      </c>
      <c r="D208" s="475" t="s">
        <v>411</v>
      </c>
      <c r="E208" s="466" t="str">
        <f t="shared" si="3"/>
        <v>ac</v>
      </c>
      <c r="F208" s="467">
        <v>13</v>
      </c>
      <c r="G208" s="467" t="s">
        <v>28</v>
      </c>
      <c r="H208" s="467" t="e">
        <v>#N/A</v>
      </c>
    </row>
    <row r="209" spans="1:8" hidden="1">
      <c r="A209" s="473" t="s">
        <v>1689</v>
      </c>
      <c r="B209" s="477"/>
      <c r="C209" s="473" t="s">
        <v>1690</v>
      </c>
      <c r="D209" s="475" t="s">
        <v>411</v>
      </c>
      <c r="E209" s="466" t="str">
        <f t="shared" si="3"/>
        <v>ac</v>
      </c>
      <c r="F209" s="467">
        <v>13</v>
      </c>
      <c r="G209" s="467" t="s">
        <v>28</v>
      </c>
      <c r="H209" s="467" t="e">
        <v>#N/A</v>
      </c>
    </row>
    <row r="210" spans="1:8" hidden="1">
      <c r="A210" s="473" t="s">
        <v>1691</v>
      </c>
      <c r="B210" s="477"/>
      <c r="C210" s="473" t="s">
        <v>1692</v>
      </c>
      <c r="D210" s="475" t="s">
        <v>411</v>
      </c>
      <c r="E210" s="466" t="str">
        <f t="shared" si="3"/>
        <v>ac</v>
      </c>
      <c r="F210" s="467">
        <v>13</v>
      </c>
      <c r="G210" s="467" t="s">
        <v>28</v>
      </c>
      <c r="H210" s="467" t="e">
        <v>#N/A</v>
      </c>
    </row>
    <row r="211" spans="1:8" hidden="1">
      <c r="A211" s="473" t="s">
        <v>1693</v>
      </c>
      <c r="B211" s="477"/>
      <c r="C211" s="473" t="s">
        <v>1694</v>
      </c>
      <c r="D211" s="475" t="s">
        <v>411</v>
      </c>
      <c r="E211" s="466" t="str">
        <f t="shared" si="3"/>
        <v>ac</v>
      </c>
      <c r="F211" s="467">
        <v>13</v>
      </c>
      <c r="G211" s="467" t="s">
        <v>28</v>
      </c>
      <c r="H211" s="467" t="e">
        <v>#N/A</v>
      </c>
    </row>
    <row r="212" spans="1:8" hidden="1">
      <c r="A212" s="473" t="s">
        <v>1695</v>
      </c>
      <c r="B212" s="477"/>
      <c r="C212" s="473" t="s">
        <v>1696</v>
      </c>
      <c r="D212" s="475" t="s">
        <v>411</v>
      </c>
      <c r="E212" s="466" t="str">
        <f t="shared" si="3"/>
        <v>ac</v>
      </c>
      <c r="F212" s="467">
        <v>13</v>
      </c>
      <c r="G212" s="467" t="s">
        <v>28</v>
      </c>
      <c r="H212" s="467" t="e">
        <v>#N/A</v>
      </c>
    </row>
    <row r="213" spans="1:8" s="478" customFormat="1" hidden="1">
      <c r="A213" s="489" t="s">
        <v>1697</v>
      </c>
      <c r="B213" s="501"/>
      <c r="C213" s="489" t="s">
        <v>1698</v>
      </c>
      <c r="D213" s="491" t="s">
        <v>614</v>
      </c>
      <c r="E213" s="466" t="str">
        <f t="shared" si="3"/>
        <v>A3</v>
      </c>
      <c r="F213" s="467">
        <v>14</v>
      </c>
      <c r="G213" s="467" t="s">
        <v>28</v>
      </c>
      <c r="H213" s="467" t="e">
        <v>#N/A</v>
      </c>
    </row>
    <row r="214" spans="1:8" s="478" customFormat="1" hidden="1">
      <c r="A214" s="489" t="s">
        <v>1699</v>
      </c>
      <c r="B214" s="501"/>
      <c r="C214" s="489" t="s">
        <v>1700</v>
      </c>
      <c r="D214" s="491" t="s">
        <v>614</v>
      </c>
      <c r="E214" s="466" t="str">
        <f t="shared" si="3"/>
        <v>A5</v>
      </c>
      <c r="F214" s="467">
        <v>14</v>
      </c>
      <c r="G214" s="467" t="s">
        <v>28</v>
      </c>
      <c r="H214" s="467" t="e">
        <v>#N/A</v>
      </c>
    </row>
    <row r="215" spans="1:8" s="478" customFormat="1" hidden="1">
      <c r="A215" s="489" t="s">
        <v>1701</v>
      </c>
      <c r="B215" s="501"/>
      <c r="C215" s="489" t="s">
        <v>1702</v>
      </c>
      <c r="D215" s="491" t="s">
        <v>614</v>
      </c>
      <c r="E215" s="466" t="str">
        <f t="shared" si="3"/>
        <v>A7</v>
      </c>
      <c r="F215" s="467">
        <v>14</v>
      </c>
      <c r="G215" s="467" t="s">
        <v>28</v>
      </c>
      <c r="H215" s="467" t="e">
        <v>#N/A</v>
      </c>
    </row>
    <row r="216" spans="1:8" s="478" customFormat="1" hidden="1">
      <c r="A216" s="489" t="s">
        <v>1703</v>
      </c>
      <c r="B216" s="501"/>
      <c r="C216" s="489" t="s">
        <v>1704</v>
      </c>
      <c r="D216" s="491" t="s">
        <v>614</v>
      </c>
      <c r="E216" s="466" t="str">
        <f t="shared" si="3"/>
        <v>A9</v>
      </c>
      <c r="F216" s="467">
        <v>14</v>
      </c>
      <c r="G216" s="467" t="s">
        <v>28</v>
      </c>
      <c r="H216" s="467" t="e">
        <v>#N/A</v>
      </c>
    </row>
    <row r="217" spans="1:8" s="478" customFormat="1" hidden="1">
      <c r="A217" s="489" t="s">
        <v>1705</v>
      </c>
      <c r="B217" s="501"/>
      <c r="C217" s="489" t="s">
        <v>1706</v>
      </c>
      <c r="D217" s="491" t="s">
        <v>614</v>
      </c>
      <c r="E217" s="466" t="str">
        <f t="shared" si="3"/>
        <v>A1</v>
      </c>
      <c r="F217" s="467">
        <v>14</v>
      </c>
      <c r="G217" s="467" t="s">
        <v>28</v>
      </c>
      <c r="H217" s="467" t="e">
        <v>#N/A</v>
      </c>
    </row>
    <row r="218" spans="1:8" s="478" customFormat="1" hidden="1">
      <c r="A218" s="489" t="s">
        <v>1707</v>
      </c>
      <c r="B218" s="501"/>
      <c r="C218" s="489" t="s">
        <v>1708</v>
      </c>
      <c r="D218" s="491" t="s">
        <v>614</v>
      </c>
      <c r="E218" s="466" t="str">
        <f t="shared" si="3"/>
        <v>A1</v>
      </c>
      <c r="F218" s="467">
        <v>14</v>
      </c>
      <c r="G218" s="467" t="s">
        <v>28</v>
      </c>
      <c r="H218" s="467" t="e">
        <v>#N/A</v>
      </c>
    </row>
    <row r="219" spans="1:8" s="478" customFormat="1" hidden="1">
      <c r="A219" s="489" t="s">
        <v>1709</v>
      </c>
      <c r="B219" s="501"/>
      <c r="C219" s="489" t="s">
        <v>1710</v>
      </c>
      <c r="D219" s="491" t="s">
        <v>614</v>
      </c>
      <c r="E219" s="466" t="str">
        <f t="shared" si="3"/>
        <v>A1</v>
      </c>
      <c r="F219" s="467">
        <v>14</v>
      </c>
      <c r="G219" s="467" t="s">
        <v>28</v>
      </c>
      <c r="H219" s="467" t="e">
        <v>#N/A</v>
      </c>
    </row>
    <row r="220" spans="1:8" s="478" customFormat="1" hidden="1">
      <c r="A220" s="489" t="s">
        <v>1711</v>
      </c>
      <c r="B220" s="501"/>
      <c r="C220" s="489" t="s">
        <v>1712</v>
      </c>
      <c r="D220" s="491" t="s">
        <v>614</v>
      </c>
      <c r="E220" s="466" t="str">
        <f t="shared" si="3"/>
        <v>A2</v>
      </c>
      <c r="F220" s="467">
        <v>14</v>
      </c>
      <c r="G220" s="467" t="s">
        <v>28</v>
      </c>
      <c r="H220" s="467" t="e">
        <v>#N/A</v>
      </c>
    </row>
    <row r="221" spans="1:8" hidden="1">
      <c r="A221" s="502" t="s">
        <v>823</v>
      </c>
      <c r="B221" s="485"/>
      <c r="C221" s="469" t="s">
        <v>1713</v>
      </c>
      <c r="D221" s="471" t="s">
        <v>614</v>
      </c>
      <c r="E221" s="466" t="str">
        <f t="shared" si="3"/>
        <v>C3</v>
      </c>
      <c r="F221" s="467">
        <v>16</v>
      </c>
      <c r="G221" s="467" t="s">
        <v>28</v>
      </c>
      <c r="H221" s="467">
        <v>5</v>
      </c>
    </row>
    <row r="222" spans="1:8" hidden="1">
      <c r="A222" s="502" t="s">
        <v>848</v>
      </c>
      <c r="B222" s="485"/>
      <c r="C222" s="469" t="s">
        <v>1714</v>
      </c>
      <c r="D222" s="471" t="s">
        <v>614</v>
      </c>
      <c r="E222" s="466" t="str">
        <f t="shared" si="3"/>
        <v>C5</v>
      </c>
      <c r="F222" s="467">
        <v>16</v>
      </c>
      <c r="G222" s="467" t="s">
        <v>28</v>
      </c>
      <c r="H222" s="467">
        <v>5.54</v>
      </c>
    </row>
    <row r="223" spans="1:8" hidden="1">
      <c r="A223" s="473" t="s">
        <v>706</v>
      </c>
      <c r="B223" s="474"/>
      <c r="C223" s="473" t="s">
        <v>1715</v>
      </c>
      <c r="D223" s="475" t="s">
        <v>281</v>
      </c>
      <c r="E223" s="466" t="str">
        <f t="shared" si="3"/>
        <v>CS</v>
      </c>
      <c r="F223" s="467">
        <v>50</v>
      </c>
      <c r="G223" s="467" t="s">
        <v>28</v>
      </c>
      <c r="H223" s="467">
        <v>1</v>
      </c>
    </row>
    <row r="224" spans="1:8" hidden="1">
      <c r="A224" s="473" t="s">
        <v>969</v>
      </c>
      <c r="B224" s="474"/>
      <c r="C224" s="473" t="s">
        <v>1716</v>
      </c>
      <c r="D224" s="475" t="s">
        <v>281</v>
      </c>
      <c r="E224" s="466" t="str">
        <f t="shared" si="3"/>
        <v>CS</v>
      </c>
      <c r="F224" s="467">
        <v>50</v>
      </c>
      <c r="G224" s="467" t="s">
        <v>28</v>
      </c>
      <c r="H224" s="467">
        <v>0</v>
      </c>
    </row>
    <row r="225" spans="1:8" hidden="1">
      <c r="A225" s="476" t="s">
        <v>964</v>
      </c>
      <c r="B225" s="477"/>
      <c r="C225" s="473" t="s">
        <v>1717</v>
      </c>
      <c r="D225" s="475" t="s">
        <v>281</v>
      </c>
      <c r="E225" s="466" t="str">
        <f t="shared" si="3"/>
        <v>CS</v>
      </c>
      <c r="F225" s="467">
        <v>50</v>
      </c>
      <c r="G225" s="467" t="s">
        <v>28</v>
      </c>
      <c r="H225" s="467">
        <v>0</v>
      </c>
    </row>
    <row r="226" spans="1:8" hidden="1">
      <c r="A226" s="463" t="s">
        <v>1023</v>
      </c>
      <c r="B226" s="468"/>
      <c r="C226" s="463" t="s">
        <v>1718</v>
      </c>
      <c r="D226" s="465" t="s">
        <v>614</v>
      </c>
      <c r="E226" s="466" t="str">
        <f>LEFT(A226,2)</f>
        <v>DA</v>
      </c>
      <c r="F226" s="467">
        <v>50</v>
      </c>
      <c r="G226" s="467" t="s">
        <v>28</v>
      </c>
      <c r="H226" s="467">
        <v>0</v>
      </c>
    </row>
    <row r="227" spans="1:8" hidden="1">
      <c r="A227" s="463" t="s">
        <v>1124</v>
      </c>
      <c r="B227" s="468"/>
      <c r="C227" s="463" t="s">
        <v>1719</v>
      </c>
      <c r="D227" s="465" t="s">
        <v>614</v>
      </c>
      <c r="E227" s="466" t="str">
        <f t="shared" si="3"/>
        <v>DA</v>
      </c>
      <c r="F227" s="467">
        <v>50</v>
      </c>
      <c r="G227" s="467" t="s">
        <v>28</v>
      </c>
      <c r="H227" s="467">
        <v>0</v>
      </c>
    </row>
    <row r="228" spans="1:8" hidden="1">
      <c r="A228" s="463" t="s">
        <v>1157</v>
      </c>
      <c r="B228" s="468" t="s">
        <v>1720</v>
      </c>
      <c r="C228" s="463" t="s">
        <v>1721</v>
      </c>
      <c r="D228" s="465" t="s">
        <v>775</v>
      </c>
      <c r="E228" s="466" t="str">
        <f t="shared" si="3"/>
        <v>GD</v>
      </c>
      <c r="F228" s="467">
        <v>50</v>
      </c>
      <c r="G228" s="467" t="s">
        <v>28</v>
      </c>
      <c r="H228" s="467">
        <v>0</v>
      </c>
    </row>
    <row r="229" spans="1:8" hidden="1">
      <c r="A229" s="463" t="s">
        <v>1136</v>
      </c>
      <c r="B229" s="468" t="s">
        <v>1720</v>
      </c>
      <c r="C229" s="463" t="s">
        <v>1722</v>
      </c>
      <c r="D229" s="465" t="s">
        <v>775</v>
      </c>
      <c r="E229" s="466" t="str">
        <f t="shared" si="3"/>
        <v>GU</v>
      </c>
      <c r="F229" s="467">
        <v>50</v>
      </c>
      <c r="G229" s="467" t="s">
        <v>28</v>
      </c>
      <c r="H229" s="467">
        <v>0</v>
      </c>
    </row>
    <row r="230" spans="1:8" hidden="1">
      <c r="A230" s="463" t="s">
        <v>1134</v>
      </c>
      <c r="B230" s="468" t="s">
        <v>1723</v>
      </c>
      <c r="C230" s="463" t="s">
        <v>1724</v>
      </c>
      <c r="D230" s="465" t="s">
        <v>1725</v>
      </c>
      <c r="E230" s="466" t="str">
        <f t="shared" si="3"/>
        <v>GI</v>
      </c>
      <c r="F230" s="467">
        <v>50</v>
      </c>
      <c r="G230" s="467" t="s">
        <v>28</v>
      </c>
      <c r="H230" s="467">
        <v>0</v>
      </c>
    </row>
    <row r="231" spans="1:8" s="478" customFormat="1" hidden="1">
      <c r="A231" s="489" t="s">
        <v>1726</v>
      </c>
      <c r="B231" s="501"/>
      <c r="C231" s="489" t="s">
        <v>1727</v>
      </c>
      <c r="D231" s="491" t="s">
        <v>775</v>
      </c>
      <c r="E231" s="466" t="str">
        <f t="shared" si="3"/>
        <v>Gi</v>
      </c>
      <c r="F231" s="467">
        <v>50</v>
      </c>
      <c r="G231" s="467" t="s">
        <v>28</v>
      </c>
      <c r="H231" s="467" t="e">
        <v>#N/A</v>
      </c>
    </row>
    <row r="232" spans="1:8" s="478" customFormat="1" hidden="1">
      <c r="A232" s="489" t="s">
        <v>1728</v>
      </c>
      <c r="B232" s="501"/>
      <c r="C232" s="489" t="s">
        <v>1727</v>
      </c>
      <c r="D232" s="491" t="s">
        <v>775</v>
      </c>
      <c r="E232" s="466" t="str">
        <f t="shared" si="3"/>
        <v>Gi</v>
      </c>
      <c r="F232" s="467">
        <v>50</v>
      </c>
      <c r="G232" s="467" t="s">
        <v>28</v>
      </c>
      <c r="H232" s="467" t="e">
        <v>#N/A</v>
      </c>
    </row>
    <row r="233" spans="1:8" hidden="1">
      <c r="A233" s="463" t="s">
        <v>1729</v>
      </c>
      <c r="B233" s="468"/>
      <c r="C233" s="463" t="s">
        <v>1727</v>
      </c>
      <c r="D233" s="465" t="s">
        <v>775</v>
      </c>
      <c r="E233" s="466" t="str">
        <f t="shared" si="3"/>
        <v>Gi</v>
      </c>
      <c r="F233" s="467">
        <v>50</v>
      </c>
      <c r="G233" s="467" t="s">
        <v>28</v>
      </c>
      <c r="H233" s="467" t="s">
        <v>775</v>
      </c>
    </row>
    <row r="234" spans="1:8" hidden="1">
      <c r="A234" s="463" t="s">
        <v>1730</v>
      </c>
      <c r="B234" s="468"/>
      <c r="C234" s="463" t="s">
        <v>1731</v>
      </c>
      <c r="D234" s="465" t="s">
        <v>614</v>
      </c>
      <c r="E234" s="466" t="str">
        <f t="shared" si="3"/>
        <v>GC</v>
      </c>
      <c r="F234" s="467">
        <v>2000</v>
      </c>
      <c r="G234" s="467" t="s">
        <v>28</v>
      </c>
      <c r="H234" s="467" t="e">
        <v>#N/A</v>
      </c>
    </row>
    <row r="235" spans="1:8" hidden="1">
      <c r="A235" s="463" t="s">
        <v>656</v>
      </c>
      <c r="B235" s="468"/>
      <c r="C235" s="463" t="s">
        <v>1732</v>
      </c>
      <c r="D235" s="465" t="s">
        <v>408</v>
      </c>
      <c r="E235" s="466" t="str">
        <f t="shared" si="3"/>
        <v>G</v>
      </c>
      <c r="F235" s="467">
        <v>2000</v>
      </c>
      <c r="G235" s="467" t="s">
        <v>28</v>
      </c>
      <c r="H235" s="467">
        <v>1</v>
      </c>
    </row>
    <row r="236" spans="1:8" hidden="1">
      <c r="A236" s="463" t="s">
        <v>822</v>
      </c>
      <c r="B236" s="468"/>
      <c r="C236" s="463" t="s">
        <v>1733</v>
      </c>
      <c r="D236" s="465" t="s">
        <v>281</v>
      </c>
      <c r="E236" s="466" t="str">
        <f t="shared" si="3"/>
        <v>K3</v>
      </c>
      <c r="F236" s="467">
        <v>50</v>
      </c>
      <c r="G236" s="467" t="s">
        <v>28</v>
      </c>
      <c r="H236" s="467">
        <v>4</v>
      </c>
    </row>
    <row r="237" spans="1:8" hidden="1">
      <c r="A237" s="503" t="s">
        <v>1734</v>
      </c>
      <c r="B237" s="464"/>
      <c r="C237" s="463" t="s">
        <v>1735</v>
      </c>
      <c r="D237" s="465" t="s">
        <v>1736</v>
      </c>
      <c r="E237" s="466" t="str">
        <f t="shared" si="3"/>
        <v>CT</v>
      </c>
      <c r="F237" s="467">
        <v>50</v>
      </c>
      <c r="G237" s="467" t="s">
        <v>28</v>
      </c>
      <c r="H237" s="467" t="e">
        <v>#N/A</v>
      </c>
    </row>
    <row r="238" spans="1:8" hidden="1">
      <c r="A238" s="503" t="s">
        <v>599</v>
      </c>
      <c r="B238" s="464"/>
      <c r="C238" s="463" t="s">
        <v>1737</v>
      </c>
      <c r="D238" s="465" t="s">
        <v>775</v>
      </c>
      <c r="E238" s="466" t="str">
        <f t="shared" si="3"/>
        <v>CT</v>
      </c>
      <c r="F238" s="467">
        <v>50</v>
      </c>
      <c r="G238" s="467" t="s">
        <v>28</v>
      </c>
      <c r="H238" s="467">
        <v>1</v>
      </c>
    </row>
    <row r="239" spans="1:8" hidden="1">
      <c r="A239" s="489" t="s">
        <v>1738</v>
      </c>
      <c r="B239" s="490"/>
      <c r="C239" s="489" t="s">
        <v>1739</v>
      </c>
      <c r="D239" s="491" t="s">
        <v>281</v>
      </c>
      <c r="E239" s="466" t="str">
        <f t="shared" si="3"/>
        <v>K-</v>
      </c>
      <c r="F239" s="467">
        <v>50</v>
      </c>
      <c r="G239" s="467" t="s">
        <v>28</v>
      </c>
      <c r="H239" s="467" t="e">
        <v>#N/A</v>
      </c>
    </row>
    <row r="240" spans="1:8" hidden="1">
      <c r="A240" s="489" t="s">
        <v>1740</v>
      </c>
      <c r="B240" s="490"/>
      <c r="C240" s="489" t="s">
        <v>1741</v>
      </c>
      <c r="D240" s="491" t="s">
        <v>281</v>
      </c>
      <c r="E240" s="466" t="str">
        <f t="shared" si="3"/>
        <v>K-</v>
      </c>
      <c r="F240" s="467">
        <v>50</v>
      </c>
      <c r="G240" s="467" t="s">
        <v>28</v>
      </c>
      <c r="H240" s="467" t="e">
        <v>#N/A</v>
      </c>
    </row>
    <row r="241" spans="1:8" s="478" customFormat="1" hidden="1">
      <c r="A241" s="504" t="s">
        <v>1742</v>
      </c>
      <c r="B241" s="490"/>
      <c r="C241" s="489" t="s">
        <v>1743</v>
      </c>
      <c r="D241" s="491" t="s">
        <v>281</v>
      </c>
      <c r="E241" s="466" t="str">
        <f t="shared" si="3"/>
        <v>K3</v>
      </c>
      <c r="F241" s="467">
        <v>50</v>
      </c>
      <c r="G241" s="467" t="s">
        <v>28</v>
      </c>
      <c r="H241" s="467" t="e">
        <v>#N/A</v>
      </c>
    </row>
    <row r="242" spans="1:8" s="478" customFormat="1" hidden="1">
      <c r="A242" s="504" t="s">
        <v>954</v>
      </c>
      <c r="B242" s="490"/>
      <c r="C242" s="489" t="s">
        <v>1744</v>
      </c>
      <c r="D242" s="491" t="s">
        <v>281</v>
      </c>
      <c r="E242" s="466" t="str">
        <f t="shared" si="3"/>
        <v>K5</v>
      </c>
      <c r="F242" s="467">
        <v>50</v>
      </c>
      <c r="G242" s="467" t="s">
        <v>28</v>
      </c>
      <c r="H242" s="467">
        <v>0</v>
      </c>
    </row>
    <row r="243" spans="1:8" s="478" customFormat="1" hidden="1">
      <c r="A243" s="489" t="s">
        <v>1745</v>
      </c>
      <c r="B243" s="501"/>
      <c r="C243" s="489" t="s">
        <v>1746</v>
      </c>
      <c r="D243" s="491" t="s">
        <v>281</v>
      </c>
      <c r="E243" s="466" t="str">
        <f t="shared" si="3"/>
        <v>K7</v>
      </c>
      <c r="F243" s="467">
        <v>50</v>
      </c>
      <c r="G243" s="467" t="s">
        <v>28</v>
      </c>
      <c r="H243" s="467">
        <v>0</v>
      </c>
    </row>
    <row r="244" spans="1:8" s="478" customFormat="1" hidden="1">
      <c r="A244" s="489" t="s">
        <v>1747</v>
      </c>
      <c r="B244" s="490"/>
      <c r="C244" s="489" t="s">
        <v>1748</v>
      </c>
      <c r="D244" s="491" t="s">
        <v>281</v>
      </c>
      <c r="E244" s="466" t="str">
        <f t="shared" si="3"/>
        <v>K9</v>
      </c>
      <c r="F244" s="467">
        <v>50</v>
      </c>
      <c r="G244" s="467" t="s">
        <v>28</v>
      </c>
      <c r="H244" s="467">
        <v>0</v>
      </c>
    </row>
    <row r="245" spans="1:8" s="478" customFormat="1" hidden="1">
      <c r="A245" s="504" t="s">
        <v>1749</v>
      </c>
      <c r="B245" s="490"/>
      <c r="C245" s="489" t="s">
        <v>1750</v>
      </c>
      <c r="D245" s="491" t="s">
        <v>281</v>
      </c>
      <c r="E245" s="466" t="str">
        <f t="shared" si="3"/>
        <v>K1</v>
      </c>
      <c r="F245" s="467">
        <v>50</v>
      </c>
      <c r="G245" s="467" t="s">
        <v>28</v>
      </c>
      <c r="H245" s="467" t="e">
        <v>#N/A</v>
      </c>
    </row>
    <row r="246" spans="1:8" s="478" customFormat="1" hidden="1">
      <c r="A246" s="504" t="s">
        <v>1751</v>
      </c>
      <c r="B246" s="490"/>
      <c r="C246" s="489" t="s">
        <v>1752</v>
      </c>
      <c r="D246" s="491" t="s">
        <v>281</v>
      </c>
      <c r="E246" s="466" t="str">
        <f t="shared" si="3"/>
        <v>K1</v>
      </c>
      <c r="F246" s="467">
        <v>50</v>
      </c>
      <c r="G246" s="467" t="s">
        <v>28</v>
      </c>
      <c r="H246" s="467">
        <v>0</v>
      </c>
    </row>
    <row r="247" spans="1:8" s="478" customFormat="1" hidden="1">
      <c r="A247" s="504" t="s">
        <v>1753</v>
      </c>
      <c r="B247" s="490"/>
      <c r="C247" s="489" t="s">
        <v>1754</v>
      </c>
      <c r="D247" s="491" t="s">
        <v>281</v>
      </c>
      <c r="E247" s="466" t="str">
        <f t="shared" si="3"/>
        <v>K1</v>
      </c>
      <c r="F247" s="467">
        <v>50</v>
      </c>
      <c r="G247" s="467" t="s">
        <v>28</v>
      </c>
      <c r="H247" s="467">
        <v>0</v>
      </c>
    </row>
    <row r="248" spans="1:8" s="478" customFormat="1" hidden="1">
      <c r="A248" s="504" t="s">
        <v>1755</v>
      </c>
      <c r="B248" s="490"/>
      <c r="C248" s="489" t="s">
        <v>1756</v>
      </c>
      <c r="D248" s="491" t="s">
        <v>281</v>
      </c>
      <c r="E248" s="466" t="str">
        <f t="shared" si="3"/>
        <v>K2</v>
      </c>
      <c r="F248" s="467">
        <v>50</v>
      </c>
      <c r="G248" s="467" t="s">
        <v>28</v>
      </c>
      <c r="H248" s="467">
        <v>0</v>
      </c>
    </row>
    <row r="249" spans="1:8" hidden="1">
      <c r="A249" s="505" t="s">
        <v>1757</v>
      </c>
      <c r="B249" s="477"/>
      <c r="C249" s="473" t="s">
        <v>1758</v>
      </c>
      <c r="D249" s="475" t="s">
        <v>281</v>
      </c>
      <c r="E249" s="466" t="str">
        <f t="shared" si="3"/>
        <v>KT</v>
      </c>
      <c r="F249" s="467">
        <v>50</v>
      </c>
      <c r="G249" s="467" t="s">
        <v>28</v>
      </c>
      <c r="H249" s="467" t="e">
        <v>#N/A</v>
      </c>
    </row>
    <row r="250" spans="1:8" hidden="1">
      <c r="A250" s="505" t="s">
        <v>1759</v>
      </c>
      <c r="B250" s="477"/>
      <c r="C250" s="473" t="s">
        <v>1760</v>
      </c>
      <c r="D250" s="475" t="s">
        <v>281</v>
      </c>
      <c r="E250" s="466" t="str">
        <f t="shared" si="3"/>
        <v>KT</v>
      </c>
      <c r="F250" s="467">
        <v>50</v>
      </c>
      <c r="G250" s="467" t="s">
        <v>28</v>
      </c>
      <c r="H250" s="467" t="e">
        <v>#N/A</v>
      </c>
    </row>
    <row r="251" spans="1:8">
      <c r="A251" s="505" t="s">
        <v>1761</v>
      </c>
      <c r="B251" s="477"/>
      <c r="C251" s="473" t="s">
        <v>1762</v>
      </c>
      <c r="D251" s="475" t="s">
        <v>281</v>
      </c>
      <c r="E251" s="466" t="str">
        <f t="shared" si="3"/>
        <v>KT</v>
      </c>
      <c r="F251" s="467">
        <v>50</v>
      </c>
      <c r="G251" s="467" t="s">
        <v>28</v>
      </c>
      <c r="H251" s="467" t="e">
        <v>#N/A</v>
      </c>
    </row>
    <row r="252" spans="1:8" s="478" customFormat="1" hidden="1">
      <c r="A252" s="505" t="s">
        <v>1271</v>
      </c>
      <c r="B252" s="477"/>
      <c r="C252" s="473" t="s">
        <v>1763</v>
      </c>
      <c r="D252" s="475" t="s">
        <v>281</v>
      </c>
      <c r="E252" s="466" t="str">
        <f t="shared" si="3"/>
        <v>KT</v>
      </c>
      <c r="F252" s="467">
        <v>50</v>
      </c>
      <c r="G252" s="467" t="s">
        <v>28</v>
      </c>
      <c r="H252" s="467">
        <v>0</v>
      </c>
    </row>
    <row r="253" spans="1:8" s="478" customFormat="1" hidden="1">
      <c r="A253" s="505" t="s">
        <v>1193</v>
      </c>
      <c r="B253" s="477"/>
      <c r="C253" s="473" t="s">
        <v>1764</v>
      </c>
      <c r="D253" s="475" t="s">
        <v>281</v>
      </c>
      <c r="E253" s="466" t="str">
        <f t="shared" si="3"/>
        <v>KT</v>
      </c>
      <c r="F253" s="467">
        <v>50</v>
      </c>
      <c r="G253" s="467" t="s">
        <v>28</v>
      </c>
      <c r="H253" s="467">
        <v>0</v>
      </c>
    </row>
    <row r="254" spans="1:8" s="478" customFormat="1" hidden="1">
      <c r="A254" s="505" t="s">
        <v>1192</v>
      </c>
      <c r="B254" s="506" t="s">
        <v>1765</v>
      </c>
      <c r="C254" s="473" t="s">
        <v>1766</v>
      </c>
      <c r="D254" s="475" t="s">
        <v>281</v>
      </c>
      <c r="E254" s="466" t="str">
        <f t="shared" si="3"/>
        <v>KT</v>
      </c>
      <c r="F254" s="467">
        <v>50</v>
      </c>
      <c r="G254" s="467" t="s">
        <v>28</v>
      </c>
      <c r="H254" s="467">
        <v>0</v>
      </c>
    </row>
    <row r="255" spans="1:8" s="478" customFormat="1" hidden="1">
      <c r="A255" s="505" t="s">
        <v>1190</v>
      </c>
      <c r="B255" s="477"/>
      <c r="C255" s="473" t="s">
        <v>1767</v>
      </c>
      <c r="D255" s="475" t="s">
        <v>281</v>
      </c>
      <c r="E255" s="466" t="str">
        <f t="shared" si="3"/>
        <v>KT</v>
      </c>
      <c r="F255" s="467">
        <v>50</v>
      </c>
      <c r="G255" s="467" t="s">
        <v>28</v>
      </c>
      <c r="H255" s="467">
        <v>0</v>
      </c>
    </row>
    <row r="256" spans="1:8" s="478" customFormat="1" hidden="1">
      <c r="A256" s="505" t="s">
        <v>1189</v>
      </c>
      <c r="B256" s="477"/>
      <c r="C256" s="473" t="s">
        <v>1768</v>
      </c>
      <c r="D256" s="475" t="s">
        <v>281</v>
      </c>
      <c r="E256" s="466" t="str">
        <f t="shared" si="3"/>
        <v>KT</v>
      </c>
      <c r="F256" s="467">
        <v>50</v>
      </c>
      <c r="G256" s="467" t="s">
        <v>28</v>
      </c>
      <c r="H256" s="467">
        <v>0</v>
      </c>
    </row>
    <row r="257" spans="1:8" s="478" customFormat="1" hidden="1">
      <c r="A257" s="505" t="s">
        <v>1769</v>
      </c>
      <c r="B257" s="477"/>
      <c r="C257" s="473" t="s">
        <v>1770</v>
      </c>
      <c r="D257" s="475" t="s">
        <v>281</v>
      </c>
      <c r="E257" s="466" t="str">
        <f t="shared" si="3"/>
        <v>KT</v>
      </c>
      <c r="F257" s="467">
        <v>50</v>
      </c>
      <c r="G257" s="467" t="s">
        <v>28</v>
      </c>
      <c r="H257" s="467" t="e">
        <v>#N/A</v>
      </c>
    </row>
    <row r="258" spans="1:8" hidden="1">
      <c r="A258" s="479" t="s">
        <v>1194</v>
      </c>
      <c r="B258" s="483"/>
      <c r="C258" s="479" t="s">
        <v>1771</v>
      </c>
      <c r="D258" s="481" t="s">
        <v>281</v>
      </c>
      <c r="E258" s="466" t="str">
        <f t="shared" si="3"/>
        <v>MT</v>
      </c>
      <c r="F258" s="467">
        <v>50</v>
      </c>
      <c r="G258" s="467" t="s">
        <v>28</v>
      </c>
      <c r="H258" s="467">
        <v>0</v>
      </c>
    </row>
    <row r="259" spans="1:8" hidden="1">
      <c r="A259" s="479" t="s">
        <v>1772</v>
      </c>
      <c r="B259" s="483"/>
      <c r="C259" s="479" t="s">
        <v>1773</v>
      </c>
      <c r="D259" s="481" t="s">
        <v>281</v>
      </c>
      <c r="E259" s="466" t="str">
        <f t="shared" si="3"/>
        <v>MO</v>
      </c>
      <c r="F259" s="467">
        <v>50</v>
      </c>
      <c r="G259" s="467" t="s">
        <v>28</v>
      </c>
      <c r="H259" s="467">
        <v>0</v>
      </c>
    </row>
    <row r="260" spans="1:8" hidden="1">
      <c r="A260" s="479" t="s">
        <v>1215</v>
      </c>
      <c r="B260" s="483"/>
      <c r="C260" s="479" t="s">
        <v>1774</v>
      </c>
      <c r="D260" s="481" t="s">
        <v>281</v>
      </c>
      <c r="E260" s="466" t="str">
        <f>LEFT(A260,2)</f>
        <v>MT</v>
      </c>
      <c r="F260" s="467">
        <v>50</v>
      </c>
      <c r="G260" s="467" t="s">
        <v>28</v>
      </c>
      <c r="H260" s="467">
        <v>0</v>
      </c>
    </row>
    <row r="261" spans="1:8" hidden="1">
      <c r="A261" s="479" t="s">
        <v>1150</v>
      </c>
      <c r="B261" s="483"/>
      <c r="C261" s="479" t="s">
        <v>1775</v>
      </c>
      <c r="D261" s="481" t="s">
        <v>281</v>
      </c>
      <c r="E261" s="466" t="str">
        <f t="shared" si="3"/>
        <v>KD</v>
      </c>
      <c r="F261" s="467">
        <v>50</v>
      </c>
      <c r="G261" s="467" t="s">
        <v>28</v>
      </c>
      <c r="H261" s="467">
        <v>0</v>
      </c>
    </row>
    <row r="262" spans="1:8" hidden="1">
      <c r="A262" s="507" t="s">
        <v>1776</v>
      </c>
      <c r="B262" s="485"/>
      <c r="C262" s="469" t="s">
        <v>1777</v>
      </c>
      <c r="D262" s="471" t="s">
        <v>281</v>
      </c>
      <c r="E262" s="466" t="str">
        <f t="shared" si="3"/>
        <v>KN</v>
      </c>
      <c r="F262" s="467">
        <v>50</v>
      </c>
      <c r="G262" s="467" t="s">
        <v>28</v>
      </c>
      <c r="H262" s="467" t="e">
        <v>#N/A</v>
      </c>
    </row>
    <row r="263" spans="1:8" hidden="1">
      <c r="A263" s="507" t="s">
        <v>1778</v>
      </c>
      <c r="B263" s="485"/>
      <c r="C263" s="469" t="s">
        <v>1779</v>
      </c>
      <c r="D263" s="471" t="s">
        <v>281</v>
      </c>
      <c r="E263" s="466" t="str">
        <f t="shared" si="3"/>
        <v>KN</v>
      </c>
      <c r="F263" s="467">
        <v>50</v>
      </c>
      <c r="G263" s="467" t="s">
        <v>28</v>
      </c>
      <c r="H263" s="467" t="e">
        <v>#N/A</v>
      </c>
    </row>
    <row r="264" spans="1:8">
      <c r="A264" s="507" t="s">
        <v>1780</v>
      </c>
      <c r="B264" s="485"/>
      <c r="C264" s="469" t="s">
        <v>1781</v>
      </c>
      <c r="D264" s="471" t="s">
        <v>281</v>
      </c>
      <c r="E264" s="466" t="str">
        <f t="shared" ref="E264:E329" si="4">LEFT(A264,2)</f>
        <v>KN</v>
      </c>
      <c r="F264" s="467">
        <v>50</v>
      </c>
      <c r="G264" s="467" t="s">
        <v>28</v>
      </c>
      <c r="H264" s="467" t="e">
        <v>#N/A</v>
      </c>
    </row>
    <row r="265" spans="1:8" s="478" customFormat="1" hidden="1">
      <c r="A265" s="507" t="s">
        <v>1272</v>
      </c>
      <c r="B265" s="485"/>
      <c r="C265" s="469" t="s">
        <v>1782</v>
      </c>
      <c r="D265" s="471" t="s">
        <v>281</v>
      </c>
      <c r="E265" s="466" t="str">
        <f t="shared" si="4"/>
        <v>KN</v>
      </c>
      <c r="F265" s="467">
        <v>50</v>
      </c>
      <c r="G265" s="467" t="s">
        <v>28</v>
      </c>
      <c r="H265" s="467">
        <v>0</v>
      </c>
    </row>
    <row r="266" spans="1:8" s="478" customFormat="1" hidden="1">
      <c r="A266" s="507" t="s">
        <v>1198</v>
      </c>
      <c r="B266" s="485"/>
      <c r="C266" s="469" t="s">
        <v>1783</v>
      </c>
      <c r="D266" s="471" t="s">
        <v>281</v>
      </c>
      <c r="E266" s="466" t="str">
        <f t="shared" si="4"/>
        <v>KN</v>
      </c>
      <c r="F266" s="467">
        <v>50</v>
      </c>
      <c r="G266" s="467" t="s">
        <v>28</v>
      </c>
      <c r="H266" s="467">
        <v>0</v>
      </c>
    </row>
    <row r="267" spans="1:8" s="478" customFormat="1" hidden="1">
      <c r="A267" s="507" t="s">
        <v>1197</v>
      </c>
      <c r="B267" s="506" t="s">
        <v>1765</v>
      </c>
      <c r="C267" s="469" t="s">
        <v>1784</v>
      </c>
      <c r="D267" s="471" t="s">
        <v>281</v>
      </c>
      <c r="E267" s="466" t="str">
        <f t="shared" si="4"/>
        <v>KN</v>
      </c>
      <c r="F267" s="467">
        <v>50</v>
      </c>
      <c r="G267" s="467" t="s">
        <v>28</v>
      </c>
      <c r="H267" s="467">
        <v>0</v>
      </c>
    </row>
    <row r="268" spans="1:8" s="478" customFormat="1" hidden="1">
      <c r="A268" s="507" t="s">
        <v>1196</v>
      </c>
      <c r="B268" s="485"/>
      <c r="C268" s="469" t="s">
        <v>1785</v>
      </c>
      <c r="D268" s="471" t="s">
        <v>281</v>
      </c>
      <c r="E268" s="466" t="str">
        <f t="shared" si="4"/>
        <v>KN</v>
      </c>
      <c r="F268" s="467">
        <v>50</v>
      </c>
      <c r="G268" s="467" t="s">
        <v>28</v>
      </c>
      <c r="H268" s="467">
        <v>0</v>
      </c>
    </row>
    <row r="269" spans="1:8" s="478" customFormat="1" hidden="1">
      <c r="A269" s="507" t="s">
        <v>1786</v>
      </c>
      <c r="B269" s="485"/>
      <c r="C269" s="469" t="s">
        <v>1787</v>
      </c>
      <c r="D269" s="471" t="s">
        <v>281</v>
      </c>
      <c r="E269" s="466" t="str">
        <f t="shared" si="4"/>
        <v>KN</v>
      </c>
      <c r="F269" s="467">
        <v>50</v>
      </c>
      <c r="G269" s="467" t="s">
        <v>28</v>
      </c>
      <c r="H269" s="467" t="e">
        <v>#N/A</v>
      </c>
    </row>
    <row r="270" spans="1:8" s="478" customFormat="1" hidden="1">
      <c r="A270" s="507" t="s">
        <v>1195</v>
      </c>
      <c r="B270" s="485"/>
      <c r="C270" s="469" t="s">
        <v>1788</v>
      </c>
      <c r="D270" s="471" t="s">
        <v>281</v>
      </c>
      <c r="E270" s="466" t="str">
        <f t="shared" si="4"/>
        <v>KN</v>
      </c>
      <c r="F270" s="467">
        <v>50</v>
      </c>
      <c r="G270" s="467" t="s">
        <v>28</v>
      </c>
      <c r="H270" s="467">
        <v>0</v>
      </c>
    </row>
    <row r="271" spans="1:8" hidden="1">
      <c r="A271" s="473" t="s">
        <v>1789</v>
      </c>
      <c r="B271" s="474"/>
      <c r="C271" s="473" t="s">
        <v>1790</v>
      </c>
      <c r="D271" s="475" t="s">
        <v>281</v>
      </c>
      <c r="E271" s="466" t="str">
        <f t="shared" si="4"/>
        <v>Ho</v>
      </c>
      <c r="F271" s="467">
        <v>50</v>
      </c>
      <c r="G271" s="467" t="s">
        <v>28</v>
      </c>
      <c r="H271" s="467" t="e">
        <v>#N/A</v>
      </c>
    </row>
    <row r="272" spans="1:8" hidden="1">
      <c r="A272" s="473" t="s">
        <v>1791</v>
      </c>
      <c r="B272" s="474"/>
      <c r="C272" s="473" t="s">
        <v>1792</v>
      </c>
      <c r="D272" s="475" t="s">
        <v>281</v>
      </c>
      <c r="E272" s="466" t="str">
        <f t="shared" si="4"/>
        <v>Ho</v>
      </c>
      <c r="F272" s="467">
        <v>50</v>
      </c>
      <c r="G272" s="467" t="s">
        <v>28</v>
      </c>
      <c r="H272" s="467" t="e">
        <v>#N/A</v>
      </c>
    </row>
    <row r="273" spans="1:8" hidden="1">
      <c r="A273" s="473" t="s">
        <v>1793</v>
      </c>
      <c r="B273" s="474"/>
      <c r="C273" s="473" t="s">
        <v>1794</v>
      </c>
      <c r="D273" s="475" t="s">
        <v>281</v>
      </c>
      <c r="E273" s="466" t="str">
        <f t="shared" si="4"/>
        <v>Ho</v>
      </c>
      <c r="F273" s="467">
        <v>50</v>
      </c>
      <c r="G273" s="467" t="s">
        <v>28</v>
      </c>
      <c r="H273" s="467" t="e">
        <v>#N/A</v>
      </c>
    </row>
    <row r="274" spans="1:8" hidden="1">
      <c r="A274" s="473" t="s">
        <v>1795</v>
      </c>
      <c r="B274" s="474"/>
      <c r="C274" s="473" t="s">
        <v>1796</v>
      </c>
      <c r="D274" s="475" t="s">
        <v>281</v>
      </c>
      <c r="E274" s="466" t="str">
        <f t="shared" si="4"/>
        <v>Ho</v>
      </c>
      <c r="F274" s="467">
        <v>50</v>
      </c>
      <c r="G274" s="467" t="s">
        <v>28</v>
      </c>
      <c r="H274" s="467" t="e">
        <v>#N/A</v>
      </c>
    </row>
    <row r="275" spans="1:8" hidden="1">
      <c r="A275" s="473" t="s">
        <v>1797</v>
      </c>
      <c r="B275" s="474"/>
      <c r="C275" s="473" t="s">
        <v>1798</v>
      </c>
      <c r="D275" s="475" t="s">
        <v>281</v>
      </c>
      <c r="E275" s="466" t="str">
        <f t="shared" si="4"/>
        <v>Ho</v>
      </c>
      <c r="F275" s="467">
        <v>50</v>
      </c>
      <c r="G275" s="467" t="s">
        <v>28</v>
      </c>
      <c r="H275" s="467" t="e">
        <v>#N/A</v>
      </c>
    </row>
    <row r="276" spans="1:8" hidden="1">
      <c r="A276" s="473" t="s">
        <v>1799</v>
      </c>
      <c r="B276" s="474"/>
      <c r="C276" s="473" t="s">
        <v>1800</v>
      </c>
      <c r="D276" s="475" t="s">
        <v>281</v>
      </c>
      <c r="E276" s="466" t="str">
        <f t="shared" si="4"/>
        <v>Ho</v>
      </c>
      <c r="F276" s="467">
        <v>50</v>
      </c>
      <c r="G276" s="467" t="s">
        <v>28</v>
      </c>
      <c r="H276" s="467" t="e">
        <v>#N/A</v>
      </c>
    </row>
    <row r="277" spans="1:8" hidden="1">
      <c r="A277" s="473" t="s">
        <v>1801</v>
      </c>
      <c r="B277" s="474"/>
      <c r="C277" s="473" t="s">
        <v>1802</v>
      </c>
      <c r="D277" s="475" t="s">
        <v>281</v>
      </c>
      <c r="E277" s="466" t="str">
        <f t="shared" si="4"/>
        <v>Ho</v>
      </c>
      <c r="F277" s="467">
        <v>50</v>
      </c>
      <c r="G277" s="467" t="s">
        <v>28</v>
      </c>
      <c r="H277" s="467" t="e">
        <v>#N/A</v>
      </c>
    </row>
    <row r="278" spans="1:8" hidden="1">
      <c r="A278" s="508" t="s">
        <v>1803</v>
      </c>
      <c r="B278" s="506" t="s">
        <v>1765</v>
      </c>
      <c r="C278" s="473" t="s">
        <v>1804</v>
      </c>
      <c r="D278" s="475" t="s">
        <v>281</v>
      </c>
      <c r="E278" s="466" t="str">
        <f t="shared" si="4"/>
        <v>HO</v>
      </c>
      <c r="F278" s="467">
        <v>50</v>
      </c>
      <c r="G278" s="467" t="s">
        <v>28</v>
      </c>
      <c r="H278" s="467" t="e">
        <v>#N/A</v>
      </c>
    </row>
    <row r="279" spans="1:8" hidden="1">
      <c r="A279" s="508" t="s">
        <v>1187</v>
      </c>
      <c r="B279" s="477"/>
      <c r="C279" s="473" t="s">
        <v>1805</v>
      </c>
      <c r="D279" s="475" t="s">
        <v>281</v>
      </c>
      <c r="E279" s="466" t="str">
        <f t="shared" si="4"/>
        <v>HO</v>
      </c>
      <c r="F279" s="467">
        <v>50</v>
      </c>
      <c r="G279" s="467" t="s">
        <v>28</v>
      </c>
      <c r="H279" s="467">
        <v>0</v>
      </c>
    </row>
    <row r="280" spans="1:8" hidden="1">
      <c r="A280" s="489" t="s">
        <v>1806</v>
      </c>
      <c r="B280" s="501"/>
      <c r="C280" s="489" t="s">
        <v>1807</v>
      </c>
      <c r="D280" s="491" t="s">
        <v>1808</v>
      </c>
      <c r="E280" s="466" t="str">
        <f t="shared" si="4"/>
        <v>BT</v>
      </c>
      <c r="F280" s="467">
        <v>50</v>
      </c>
      <c r="G280" s="467" t="s">
        <v>28</v>
      </c>
      <c r="H280" s="467" t="e">
        <v>#N/A</v>
      </c>
    </row>
    <row r="281" spans="1:8" hidden="1">
      <c r="A281" s="489" t="s">
        <v>1809</v>
      </c>
      <c r="B281" s="501"/>
      <c r="C281" s="489" t="s">
        <v>1810</v>
      </c>
      <c r="D281" s="491" t="s">
        <v>1808</v>
      </c>
      <c r="E281" s="466" t="str">
        <f t="shared" si="4"/>
        <v>BT</v>
      </c>
      <c r="F281" s="467">
        <v>50</v>
      </c>
      <c r="G281" s="467" t="s">
        <v>28</v>
      </c>
      <c r="H281" s="467" t="e">
        <v>#N/A</v>
      </c>
    </row>
    <row r="282" spans="1:8" s="478" customFormat="1" hidden="1">
      <c r="A282" s="489" t="s">
        <v>1811</v>
      </c>
      <c r="B282" s="501" t="s">
        <v>1812</v>
      </c>
      <c r="C282" s="489" t="s">
        <v>1813</v>
      </c>
      <c r="D282" s="491" t="s">
        <v>1814</v>
      </c>
      <c r="E282" s="466" t="str">
        <f t="shared" si="4"/>
        <v>BT</v>
      </c>
      <c r="F282" s="467">
        <v>50</v>
      </c>
      <c r="G282" s="467" t="s">
        <v>28</v>
      </c>
      <c r="H282" s="467" t="e">
        <v>#N/A</v>
      </c>
    </row>
    <row r="283" spans="1:8" s="478" customFormat="1" hidden="1">
      <c r="A283" s="489" t="s">
        <v>1815</v>
      </c>
      <c r="B283" s="501" t="s">
        <v>1816</v>
      </c>
      <c r="C283" s="489" t="s">
        <v>1817</v>
      </c>
      <c r="D283" s="491" t="s">
        <v>1814</v>
      </c>
      <c r="E283" s="466" t="str">
        <f t="shared" si="4"/>
        <v>BT</v>
      </c>
      <c r="F283" s="467">
        <v>50</v>
      </c>
      <c r="G283" s="467" t="s">
        <v>28</v>
      </c>
      <c r="H283" s="467" t="e">
        <v>#N/A</v>
      </c>
    </row>
    <row r="284" spans="1:8" hidden="1">
      <c r="A284" s="463" t="s">
        <v>908</v>
      </c>
      <c r="B284" s="464" t="s">
        <v>1818</v>
      </c>
      <c r="C284" s="463" t="s">
        <v>1819</v>
      </c>
      <c r="D284" s="465" t="s">
        <v>1814</v>
      </c>
      <c r="E284" s="466" t="str">
        <f t="shared" si="4"/>
        <v>BT</v>
      </c>
      <c r="F284" s="467">
        <v>50</v>
      </c>
      <c r="G284" s="467" t="s">
        <v>28</v>
      </c>
      <c r="H284" s="467">
        <v>1.34</v>
      </c>
    </row>
    <row r="285" spans="1:8" hidden="1">
      <c r="A285" s="505" t="s">
        <v>1199</v>
      </c>
      <c r="B285" s="477"/>
      <c r="C285" s="473" t="s">
        <v>1820</v>
      </c>
      <c r="D285" s="475" t="s">
        <v>281</v>
      </c>
      <c r="E285" s="466" t="str">
        <f t="shared" si="4"/>
        <v>BI</v>
      </c>
      <c r="F285" s="467">
        <v>50</v>
      </c>
      <c r="G285" s="467" t="s">
        <v>28</v>
      </c>
      <c r="H285" s="467">
        <v>0</v>
      </c>
    </row>
    <row r="286" spans="1:8" hidden="1">
      <c r="A286" s="505" t="s">
        <v>1821</v>
      </c>
      <c r="B286" s="477"/>
      <c r="C286" s="473" t="s">
        <v>1822</v>
      </c>
      <c r="D286" s="475" t="s">
        <v>281</v>
      </c>
      <c r="E286" s="466" t="str">
        <f t="shared" si="4"/>
        <v>BI</v>
      </c>
      <c r="F286" s="467">
        <v>50</v>
      </c>
      <c r="G286" s="467" t="s">
        <v>28</v>
      </c>
      <c r="H286" s="467" t="e">
        <v>#N/A</v>
      </c>
    </row>
    <row r="287" spans="1:8" hidden="1">
      <c r="A287" s="505" t="s">
        <v>1200</v>
      </c>
      <c r="B287" s="477"/>
      <c r="C287" s="473" t="s">
        <v>1823</v>
      </c>
      <c r="D287" s="475" t="s">
        <v>281</v>
      </c>
      <c r="E287" s="466" t="str">
        <f t="shared" si="4"/>
        <v>BI</v>
      </c>
      <c r="F287" s="467">
        <v>50</v>
      </c>
      <c r="G287" s="467" t="s">
        <v>28</v>
      </c>
      <c r="H287" s="467">
        <v>0</v>
      </c>
    </row>
    <row r="288" spans="1:8" hidden="1">
      <c r="A288" s="505" t="s">
        <v>1201</v>
      </c>
      <c r="B288" s="477"/>
      <c r="C288" s="473" t="s">
        <v>1824</v>
      </c>
      <c r="D288" s="475" t="s">
        <v>281</v>
      </c>
      <c r="E288" s="466" t="str">
        <f t="shared" si="4"/>
        <v>BI</v>
      </c>
      <c r="F288" s="467">
        <v>50</v>
      </c>
      <c r="G288" s="467" t="s">
        <v>28</v>
      </c>
      <c r="H288" s="467">
        <v>0</v>
      </c>
    </row>
    <row r="289" spans="1:8" hidden="1">
      <c r="A289" s="505" t="s">
        <v>1202</v>
      </c>
      <c r="B289" s="477"/>
      <c r="C289" s="473" t="s">
        <v>1825</v>
      </c>
      <c r="D289" s="475" t="s">
        <v>281</v>
      </c>
      <c r="E289" s="466" t="str">
        <f t="shared" si="4"/>
        <v>BI</v>
      </c>
      <c r="F289" s="467">
        <v>50</v>
      </c>
      <c r="G289" s="467" t="s">
        <v>28</v>
      </c>
      <c r="H289" s="467">
        <v>0</v>
      </c>
    </row>
    <row r="290" spans="1:8" hidden="1">
      <c r="A290" s="505" t="s">
        <v>1203</v>
      </c>
      <c r="B290" s="477"/>
      <c r="C290" s="473" t="s">
        <v>1826</v>
      </c>
      <c r="D290" s="475" t="s">
        <v>281</v>
      </c>
      <c r="E290" s="466" t="str">
        <f t="shared" si="4"/>
        <v>BI</v>
      </c>
      <c r="F290" s="467">
        <v>50</v>
      </c>
      <c r="G290" s="467" t="s">
        <v>28</v>
      </c>
      <c r="H290" s="467">
        <v>0</v>
      </c>
    </row>
    <row r="291" spans="1:8" s="478" customFormat="1" hidden="1">
      <c r="A291" s="469" t="s">
        <v>1186</v>
      </c>
      <c r="B291" s="485"/>
      <c r="C291" s="469" t="s">
        <v>1827</v>
      </c>
      <c r="D291" s="471" t="s">
        <v>281</v>
      </c>
      <c r="E291" s="466" t="str">
        <f t="shared" si="4"/>
        <v>KE</v>
      </c>
      <c r="F291" s="467">
        <v>50</v>
      </c>
      <c r="G291" s="467" t="s">
        <v>28</v>
      </c>
      <c r="H291" s="467">
        <v>0</v>
      </c>
    </row>
    <row r="292" spans="1:8" s="478" customFormat="1" hidden="1">
      <c r="A292" s="469" t="s">
        <v>642</v>
      </c>
      <c r="B292" s="485"/>
      <c r="C292" s="469" t="s">
        <v>1828</v>
      </c>
      <c r="D292" s="471" t="s">
        <v>281</v>
      </c>
      <c r="E292" s="466" t="str">
        <f t="shared" si="4"/>
        <v>KE</v>
      </c>
      <c r="F292" s="467">
        <v>50</v>
      </c>
      <c r="G292" s="467" t="s">
        <v>28</v>
      </c>
      <c r="H292" s="467">
        <v>1</v>
      </c>
    </row>
    <row r="293" spans="1:8" s="478" customFormat="1" hidden="1">
      <c r="A293" s="469" t="s">
        <v>1829</v>
      </c>
      <c r="B293" s="485"/>
      <c r="C293" s="469" t="s">
        <v>1830</v>
      </c>
      <c r="D293" s="471" t="s">
        <v>281</v>
      </c>
      <c r="E293" s="466" t="str">
        <f t="shared" si="4"/>
        <v>KE</v>
      </c>
      <c r="F293" s="467">
        <v>50</v>
      </c>
      <c r="G293" s="467" t="s">
        <v>28</v>
      </c>
      <c r="H293" s="467">
        <v>0</v>
      </c>
    </row>
    <row r="294" spans="1:8" s="478" customFormat="1" hidden="1">
      <c r="A294" s="469" t="s">
        <v>624</v>
      </c>
      <c r="B294" s="485"/>
      <c r="C294" s="469" t="s">
        <v>1831</v>
      </c>
      <c r="D294" s="471" t="s">
        <v>281</v>
      </c>
      <c r="E294" s="466" t="str">
        <f t="shared" si="4"/>
        <v>KE</v>
      </c>
      <c r="F294" s="467">
        <v>50</v>
      </c>
      <c r="G294" s="467" t="s">
        <v>28</v>
      </c>
      <c r="H294" s="467">
        <v>2</v>
      </c>
    </row>
    <row r="295" spans="1:8" s="478" customFormat="1" hidden="1">
      <c r="A295" s="469" t="s">
        <v>1832</v>
      </c>
      <c r="B295" s="485"/>
      <c r="C295" s="469" t="s">
        <v>1833</v>
      </c>
      <c r="D295" s="471" t="s">
        <v>281</v>
      </c>
      <c r="E295" s="466" t="str">
        <f t="shared" si="4"/>
        <v>KE</v>
      </c>
      <c r="F295" s="467">
        <v>50</v>
      </c>
      <c r="G295" s="467" t="s">
        <v>28</v>
      </c>
      <c r="H295" s="467">
        <v>0</v>
      </c>
    </row>
    <row r="296" spans="1:8" s="478" customFormat="1" hidden="1">
      <c r="A296" s="469" t="s">
        <v>1834</v>
      </c>
      <c r="B296" s="485"/>
      <c r="C296" s="469" t="s">
        <v>1835</v>
      </c>
      <c r="D296" s="471" t="s">
        <v>281</v>
      </c>
      <c r="E296" s="466" t="str">
        <f t="shared" si="4"/>
        <v>KE</v>
      </c>
      <c r="F296" s="467">
        <v>50</v>
      </c>
      <c r="G296" s="467" t="s">
        <v>28</v>
      </c>
      <c r="H296" s="467">
        <v>0</v>
      </c>
    </row>
    <row r="297" spans="1:8" s="478" customFormat="1" hidden="1">
      <c r="A297" s="469" t="s">
        <v>1066</v>
      </c>
      <c r="B297" s="485"/>
      <c r="C297" s="469" t="s">
        <v>1836</v>
      </c>
      <c r="D297" s="471" t="s">
        <v>281</v>
      </c>
      <c r="E297" s="466" t="str">
        <f t="shared" si="4"/>
        <v>KE</v>
      </c>
      <c r="F297" s="467">
        <v>50</v>
      </c>
      <c r="G297" s="467" t="s">
        <v>28</v>
      </c>
      <c r="H297" s="467">
        <v>0</v>
      </c>
    </row>
    <row r="298" spans="1:8" s="478" customFormat="1" hidden="1">
      <c r="A298" s="469" t="s">
        <v>1837</v>
      </c>
      <c r="B298" s="485"/>
      <c r="C298" s="469" t="s">
        <v>1838</v>
      </c>
      <c r="D298" s="471" t="s">
        <v>281</v>
      </c>
      <c r="E298" s="466" t="str">
        <f t="shared" si="4"/>
        <v>KE</v>
      </c>
      <c r="F298" s="467">
        <v>50</v>
      </c>
      <c r="G298" s="467" t="s">
        <v>28</v>
      </c>
      <c r="H298" s="467">
        <v>0</v>
      </c>
    </row>
    <row r="299" spans="1:8" s="478" customFormat="1" hidden="1">
      <c r="A299" s="469" t="s">
        <v>1839</v>
      </c>
      <c r="B299" s="485"/>
      <c r="C299" s="469" t="s">
        <v>1840</v>
      </c>
      <c r="D299" s="471" t="s">
        <v>281</v>
      </c>
      <c r="E299" s="466" t="str">
        <f t="shared" si="4"/>
        <v>KE</v>
      </c>
      <c r="F299" s="467">
        <v>50</v>
      </c>
      <c r="G299" s="467" t="s">
        <v>28</v>
      </c>
      <c r="H299" s="467">
        <v>0</v>
      </c>
    </row>
    <row r="300" spans="1:8" s="478" customFormat="1" hidden="1">
      <c r="A300" s="469" t="s">
        <v>1841</v>
      </c>
      <c r="B300" s="485"/>
      <c r="C300" s="469" t="s">
        <v>1842</v>
      </c>
      <c r="D300" s="471" t="s">
        <v>281</v>
      </c>
      <c r="E300" s="466" t="str">
        <f t="shared" si="4"/>
        <v>KE</v>
      </c>
      <c r="F300" s="467">
        <v>50</v>
      </c>
      <c r="G300" s="467" t="s">
        <v>28</v>
      </c>
      <c r="H300" s="467">
        <v>0</v>
      </c>
    </row>
    <row r="301" spans="1:8" s="478" customFormat="1" hidden="1">
      <c r="A301" s="469" t="s">
        <v>620</v>
      </c>
      <c r="B301" s="470"/>
      <c r="C301" s="469" t="s">
        <v>1843</v>
      </c>
      <c r="D301" s="471" t="s">
        <v>281</v>
      </c>
      <c r="E301" s="466" t="str">
        <f t="shared" si="4"/>
        <v>KC</v>
      </c>
      <c r="F301" s="467">
        <v>50</v>
      </c>
      <c r="G301" s="467" t="s">
        <v>28</v>
      </c>
      <c r="H301" s="467">
        <v>2</v>
      </c>
    </row>
    <row r="302" spans="1:8" s="478" customFormat="1" hidden="1">
      <c r="A302" s="469" t="s">
        <v>1844</v>
      </c>
      <c r="B302" s="470"/>
      <c r="C302" s="469" t="s">
        <v>1845</v>
      </c>
      <c r="D302" s="471" t="s">
        <v>281</v>
      </c>
      <c r="E302" s="466" t="str">
        <f t="shared" si="4"/>
        <v>KC</v>
      </c>
      <c r="F302" s="467">
        <v>50</v>
      </c>
      <c r="G302" s="467" t="s">
        <v>28</v>
      </c>
      <c r="H302" s="467" t="e">
        <v>#N/A</v>
      </c>
    </row>
    <row r="303" spans="1:8" s="478" customFormat="1" hidden="1">
      <c r="A303" s="496" t="s">
        <v>1001</v>
      </c>
      <c r="B303" s="509" t="s">
        <v>1846</v>
      </c>
      <c r="C303" s="496" t="s">
        <v>1847</v>
      </c>
      <c r="D303" s="498" t="s">
        <v>281</v>
      </c>
      <c r="E303" s="466" t="str">
        <f>LEFT(A303,2)</f>
        <v>KQ</v>
      </c>
      <c r="F303" s="467">
        <v>50</v>
      </c>
      <c r="G303" s="467" t="s">
        <v>28</v>
      </c>
      <c r="H303" s="467">
        <v>0</v>
      </c>
    </row>
    <row r="304" spans="1:8" s="478" customFormat="1" hidden="1">
      <c r="A304" s="496" t="s">
        <v>1113</v>
      </c>
      <c r="B304" s="509" t="s">
        <v>1846</v>
      </c>
      <c r="C304" s="496" t="s">
        <v>1848</v>
      </c>
      <c r="D304" s="498" t="s">
        <v>775</v>
      </c>
      <c r="E304" s="466" t="str">
        <f t="shared" si="4"/>
        <v>KQ</v>
      </c>
      <c r="F304" s="467">
        <v>50</v>
      </c>
      <c r="G304" s="467" t="s">
        <v>28</v>
      </c>
      <c r="H304" s="467">
        <v>0</v>
      </c>
    </row>
    <row r="305" spans="1:8" s="478" customFormat="1" hidden="1">
      <c r="A305" s="496" t="s">
        <v>1014</v>
      </c>
      <c r="B305" s="509" t="s">
        <v>1846</v>
      </c>
      <c r="C305" s="496" t="s">
        <v>1849</v>
      </c>
      <c r="D305" s="498" t="s">
        <v>281</v>
      </c>
      <c r="E305" s="466" t="str">
        <f t="shared" si="4"/>
        <v>KQ</v>
      </c>
      <c r="F305" s="467">
        <v>50</v>
      </c>
      <c r="G305" s="467" t="s">
        <v>28</v>
      </c>
      <c r="H305" s="467">
        <v>0</v>
      </c>
    </row>
    <row r="306" spans="1:8" s="478" customFormat="1" hidden="1">
      <c r="A306" s="496" t="s">
        <v>1850</v>
      </c>
      <c r="B306" s="509" t="s">
        <v>1846</v>
      </c>
      <c r="C306" s="496" t="s">
        <v>1851</v>
      </c>
      <c r="D306" s="498" t="s">
        <v>281</v>
      </c>
      <c r="E306" s="466" t="str">
        <f>LEFT(A306,2)</f>
        <v>KQ</v>
      </c>
      <c r="F306" s="467">
        <v>50</v>
      </c>
      <c r="G306" s="467" t="s">
        <v>28</v>
      </c>
      <c r="H306" s="467" t="e">
        <v>#N/A</v>
      </c>
    </row>
    <row r="307" spans="1:8" s="478" customFormat="1" hidden="1">
      <c r="A307" s="496" t="s">
        <v>1002</v>
      </c>
      <c r="B307" s="509" t="s">
        <v>1846</v>
      </c>
      <c r="C307" s="496" t="s">
        <v>1852</v>
      </c>
      <c r="D307" s="498" t="s">
        <v>281</v>
      </c>
      <c r="E307" s="466" t="str">
        <f t="shared" si="4"/>
        <v>KH</v>
      </c>
      <c r="F307" s="467">
        <v>50</v>
      </c>
      <c r="G307" s="467" t="s">
        <v>28</v>
      </c>
      <c r="H307" s="467">
        <v>0</v>
      </c>
    </row>
    <row r="308" spans="1:8" s="478" customFormat="1" hidden="1">
      <c r="A308" s="496" t="s">
        <v>1015</v>
      </c>
      <c r="B308" s="509" t="s">
        <v>1846</v>
      </c>
      <c r="C308" s="496" t="s">
        <v>1853</v>
      </c>
      <c r="D308" s="498" t="s">
        <v>281</v>
      </c>
      <c r="E308" s="466" t="str">
        <f t="shared" si="4"/>
        <v>KH</v>
      </c>
      <c r="F308" s="467">
        <v>50</v>
      </c>
      <c r="G308" s="467" t="s">
        <v>28</v>
      </c>
      <c r="H308" s="467">
        <v>15</v>
      </c>
    </row>
    <row r="309" spans="1:8" s="478" customFormat="1" hidden="1">
      <c r="A309" s="496" t="s">
        <v>1854</v>
      </c>
      <c r="B309" s="509" t="s">
        <v>1846</v>
      </c>
      <c r="C309" s="496" t="s">
        <v>1855</v>
      </c>
      <c r="D309" s="498" t="s">
        <v>281</v>
      </c>
      <c r="E309" s="466" t="str">
        <f t="shared" si="4"/>
        <v>KH</v>
      </c>
      <c r="F309" s="467">
        <v>50</v>
      </c>
      <c r="G309" s="467" t="s">
        <v>28</v>
      </c>
      <c r="H309" s="467" t="e">
        <v>#N/A</v>
      </c>
    </row>
    <row r="310" spans="1:8" hidden="1">
      <c r="A310" s="489" t="s">
        <v>1856</v>
      </c>
      <c r="B310" s="501"/>
      <c r="C310" s="489" t="s">
        <v>1857</v>
      </c>
      <c r="D310" s="491" t="s">
        <v>281</v>
      </c>
      <c r="E310" s="466" t="str">
        <f t="shared" si="4"/>
        <v>KE</v>
      </c>
      <c r="F310" s="467">
        <v>50</v>
      </c>
      <c r="G310" s="467" t="s">
        <v>28</v>
      </c>
      <c r="H310" s="467" t="e">
        <v>#N/A</v>
      </c>
    </row>
    <row r="311" spans="1:8" hidden="1">
      <c r="A311" s="489" t="s">
        <v>1858</v>
      </c>
      <c r="B311" s="501"/>
      <c r="C311" s="489" t="s">
        <v>1859</v>
      </c>
      <c r="D311" s="491" t="s">
        <v>281</v>
      </c>
      <c r="E311" s="466" t="str">
        <f t="shared" si="4"/>
        <v>KE</v>
      </c>
      <c r="F311" s="467">
        <v>50</v>
      </c>
      <c r="G311" s="467" t="s">
        <v>28</v>
      </c>
      <c r="H311" s="467">
        <v>0</v>
      </c>
    </row>
    <row r="312" spans="1:8" hidden="1">
      <c r="A312" s="489" t="s">
        <v>1860</v>
      </c>
      <c r="B312" s="501"/>
      <c r="C312" s="489" t="s">
        <v>1861</v>
      </c>
      <c r="D312" s="491" t="s">
        <v>281</v>
      </c>
      <c r="E312" s="466" t="str">
        <f t="shared" si="4"/>
        <v>KE</v>
      </c>
      <c r="F312" s="467">
        <v>50</v>
      </c>
      <c r="G312" s="467" t="s">
        <v>28</v>
      </c>
      <c r="H312" s="467" t="e">
        <v>#N/A</v>
      </c>
    </row>
    <row r="313" spans="1:8" hidden="1">
      <c r="A313" s="489" t="s">
        <v>1862</v>
      </c>
      <c r="B313" s="501"/>
      <c r="C313" s="489" t="s">
        <v>1863</v>
      </c>
      <c r="D313" s="491" t="s">
        <v>281</v>
      </c>
      <c r="E313" s="466" t="str">
        <f t="shared" si="4"/>
        <v>KE</v>
      </c>
      <c r="F313" s="467">
        <v>50</v>
      </c>
      <c r="G313" s="467" t="s">
        <v>28</v>
      </c>
      <c r="H313" s="467" t="e">
        <v>#N/A</v>
      </c>
    </row>
    <row r="314" spans="1:8" s="478" customFormat="1" hidden="1">
      <c r="A314" s="482" t="s">
        <v>1864</v>
      </c>
      <c r="B314" s="483"/>
      <c r="C314" s="479" t="s">
        <v>1865</v>
      </c>
      <c r="D314" s="481" t="s">
        <v>281</v>
      </c>
      <c r="E314" s="466" t="str">
        <f t="shared" si="4"/>
        <v>Kd</v>
      </c>
      <c r="F314" s="467">
        <v>50</v>
      </c>
      <c r="G314" s="467" t="s">
        <v>28</v>
      </c>
      <c r="H314" s="467">
        <v>0</v>
      </c>
    </row>
    <row r="315" spans="1:8" s="478" customFormat="1" hidden="1">
      <c r="A315" s="482" t="s">
        <v>1866</v>
      </c>
      <c r="B315" s="483"/>
      <c r="C315" s="479" t="s">
        <v>1867</v>
      </c>
      <c r="D315" s="481" t="s">
        <v>281</v>
      </c>
      <c r="E315" s="466" t="str">
        <f t="shared" si="4"/>
        <v>Kd</v>
      </c>
      <c r="F315" s="467">
        <v>50</v>
      </c>
      <c r="G315" s="467" t="s">
        <v>28</v>
      </c>
      <c r="H315" s="467">
        <v>0</v>
      </c>
    </row>
    <row r="316" spans="1:8" s="478" customFormat="1" hidden="1">
      <c r="A316" s="482" t="s">
        <v>1868</v>
      </c>
      <c r="B316" s="483"/>
      <c r="C316" s="479" t="s">
        <v>1869</v>
      </c>
      <c r="D316" s="481" t="s">
        <v>281</v>
      </c>
      <c r="E316" s="466" t="str">
        <f t="shared" si="4"/>
        <v>Kd</v>
      </c>
      <c r="F316" s="467">
        <v>50</v>
      </c>
      <c r="G316" s="467" t="s">
        <v>28</v>
      </c>
      <c r="H316" s="467">
        <v>0</v>
      </c>
    </row>
    <row r="317" spans="1:8" s="478" customFormat="1" hidden="1">
      <c r="A317" s="482" t="s">
        <v>1870</v>
      </c>
      <c r="B317" s="483"/>
      <c r="C317" s="479" t="s">
        <v>1871</v>
      </c>
      <c r="D317" s="481" t="s">
        <v>281</v>
      </c>
      <c r="E317" s="466" t="str">
        <f t="shared" si="4"/>
        <v>Kd</v>
      </c>
      <c r="F317" s="467">
        <v>50</v>
      </c>
      <c r="G317" s="467" t="s">
        <v>28</v>
      </c>
      <c r="H317" s="467">
        <v>0</v>
      </c>
    </row>
    <row r="318" spans="1:8" s="478" customFormat="1" hidden="1">
      <c r="A318" s="482" t="s">
        <v>1872</v>
      </c>
      <c r="B318" s="483"/>
      <c r="C318" s="479" t="s">
        <v>1873</v>
      </c>
      <c r="D318" s="481" t="s">
        <v>281</v>
      </c>
      <c r="E318" s="466" t="str">
        <f t="shared" si="4"/>
        <v>Kd</v>
      </c>
      <c r="F318" s="467">
        <v>50</v>
      </c>
      <c r="G318" s="467" t="s">
        <v>28</v>
      </c>
      <c r="H318" s="467">
        <v>0</v>
      </c>
    </row>
    <row r="319" spans="1:8" s="478" customFormat="1" hidden="1">
      <c r="A319" s="482" t="s">
        <v>1874</v>
      </c>
      <c r="B319" s="483"/>
      <c r="C319" s="479" t="s">
        <v>1875</v>
      </c>
      <c r="D319" s="481" t="s">
        <v>281</v>
      </c>
      <c r="E319" s="466" t="str">
        <f t="shared" si="4"/>
        <v>Kd</v>
      </c>
      <c r="F319" s="467">
        <v>50</v>
      </c>
      <c r="G319" s="467" t="s">
        <v>28</v>
      </c>
      <c r="H319" s="467">
        <v>0</v>
      </c>
    </row>
    <row r="320" spans="1:8" s="478" customFormat="1" hidden="1">
      <c r="A320" s="482" t="s">
        <v>1876</v>
      </c>
      <c r="B320" s="483"/>
      <c r="C320" s="479" t="s">
        <v>1877</v>
      </c>
      <c r="D320" s="481" t="s">
        <v>281</v>
      </c>
      <c r="E320" s="466" t="str">
        <f t="shared" si="4"/>
        <v>Kd</v>
      </c>
      <c r="F320" s="467">
        <v>50</v>
      </c>
      <c r="G320" s="467" t="s">
        <v>28</v>
      </c>
      <c r="H320" s="467">
        <v>0</v>
      </c>
    </row>
    <row r="321" spans="1:8" s="478" customFormat="1" hidden="1">
      <c r="A321" s="482" t="s">
        <v>1878</v>
      </c>
      <c r="B321" s="483"/>
      <c r="C321" s="479" t="s">
        <v>1879</v>
      </c>
      <c r="D321" s="481" t="s">
        <v>281</v>
      </c>
      <c r="E321" s="466" t="str">
        <f t="shared" si="4"/>
        <v>KD</v>
      </c>
      <c r="F321" s="467">
        <v>50</v>
      </c>
      <c r="G321" s="467" t="s">
        <v>28</v>
      </c>
      <c r="H321" s="467" t="e">
        <v>#N/A</v>
      </c>
    </row>
    <row r="322" spans="1:8" s="478" customFormat="1" hidden="1">
      <c r="A322" s="482" t="s">
        <v>1880</v>
      </c>
      <c r="B322" s="483"/>
      <c r="C322" s="479" t="s">
        <v>1881</v>
      </c>
      <c r="D322" s="481" t="s">
        <v>281</v>
      </c>
      <c r="E322" s="466" t="str">
        <f t="shared" si="4"/>
        <v>KD</v>
      </c>
      <c r="F322" s="467">
        <v>50</v>
      </c>
      <c r="G322" s="467" t="s">
        <v>28</v>
      </c>
      <c r="H322" s="467" t="e">
        <v>#N/A</v>
      </c>
    </row>
    <row r="323" spans="1:8" s="478" customFormat="1" hidden="1">
      <c r="A323" s="482" t="s">
        <v>1882</v>
      </c>
      <c r="B323" s="483"/>
      <c r="C323" s="479" t="s">
        <v>1883</v>
      </c>
      <c r="D323" s="481" t="s">
        <v>281</v>
      </c>
      <c r="E323" s="466" t="str">
        <f t="shared" si="4"/>
        <v>KD</v>
      </c>
      <c r="F323" s="467">
        <v>50</v>
      </c>
      <c r="G323" s="467" t="s">
        <v>28</v>
      </c>
      <c r="H323" s="467" t="e">
        <v>#N/A</v>
      </c>
    </row>
    <row r="324" spans="1:8" s="478" customFormat="1" hidden="1">
      <c r="A324" s="473" t="s">
        <v>1884</v>
      </c>
      <c r="B324" s="474"/>
      <c r="C324" s="473" t="s">
        <v>1885</v>
      </c>
      <c r="D324" s="475" t="s">
        <v>281</v>
      </c>
      <c r="E324" s="466" t="str">
        <f t="shared" si="4"/>
        <v>KN</v>
      </c>
      <c r="F324" s="467">
        <v>50</v>
      </c>
      <c r="G324" s="467" t="s">
        <v>28</v>
      </c>
      <c r="H324" s="467" t="s">
        <v>281</v>
      </c>
    </row>
    <row r="325" spans="1:8" s="478" customFormat="1" hidden="1">
      <c r="A325" s="473" t="s">
        <v>997</v>
      </c>
      <c r="B325" s="474"/>
      <c r="C325" s="473" t="s">
        <v>1886</v>
      </c>
      <c r="D325" s="475" t="s">
        <v>281</v>
      </c>
      <c r="E325" s="466" t="str">
        <f t="shared" si="4"/>
        <v>KN</v>
      </c>
      <c r="F325" s="467">
        <v>50</v>
      </c>
      <c r="G325" s="467" t="s">
        <v>28</v>
      </c>
      <c r="H325" s="467">
        <v>0</v>
      </c>
    </row>
    <row r="326" spans="1:8" s="478" customFormat="1" hidden="1">
      <c r="A326" s="476" t="s">
        <v>996</v>
      </c>
      <c r="B326" s="477"/>
      <c r="C326" s="473" t="s">
        <v>1887</v>
      </c>
      <c r="D326" s="475" t="s">
        <v>281</v>
      </c>
      <c r="E326" s="466" t="str">
        <f t="shared" si="4"/>
        <v>KN</v>
      </c>
      <c r="F326" s="467">
        <v>50</v>
      </c>
      <c r="G326" s="467" t="s">
        <v>28</v>
      </c>
      <c r="H326" s="467">
        <v>0</v>
      </c>
    </row>
    <row r="327" spans="1:8" s="478" customFormat="1" hidden="1">
      <c r="A327" s="476" t="s">
        <v>995</v>
      </c>
      <c r="B327" s="477"/>
      <c r="C327" s="473" t="s">
        <v>1888</v>
      </c>
      <c r="D327" s="475" t="s">
        <v>281</v>
      </c>
      <c r="E327" s="466" t="str">
        <f t="shared" si="4"/>
        <v>KN</v>
      </c>
      <c r="F327" s="467">
        <v>50</v>
      </c>
      <c r="G327" s="467" t="s">
        <v>28</v>
      </c>
      <c r="H327" s="467">
        <v>0</v>
      </c>
    </row>
    <row r="328" spans="1:8" s="478" customFormat="1" hidden="1">
      <c r="A328" s="476" t="s">
        <v>994</v>
      </c>
      <c r="B328" s="477"/>
      <c r="C328" s="473" t="s">
        <v>1889</v>
      </c>
      <c r="D328" s="475" t="s">
        <v>281</v>
      </c>
      <c r="E328" s="466" t="str">
        <f t="shared" si="4"/>
        <v>KN</v>
      </c>
      <c r="F328" s="467">
        <v>50</v>
      </c>
      <c r="G328" s="467" t="s">
        <v>28</v>
      </c>
      <c r="H328" s="467">
        <v>0</v>
      </c>
    </row>
    <row r="329" spans="1:8" s="478" customFormat="1" hidden="1">
      <c r="A329" s="476" t="s">
        <v>993</v>
      </c>
      <c r="B329" s="477"/>
      <c r="C329" s="473" t="s">
        <v>1890</v>
      </c>
      <c r="D329" s="475" t="s">
        <v>281</v>
      </c>
      <c r="E329" s="466" t="str">
        <f t="shared" si="4"/>
        <v>KN</v>
      </c>
      <c r="F329" s="467">
        <v>50</v>
      </c>
      <c r="G329" s="467" t="s">
        <v>28</v>
      </c>
      <c r="H329" s="467">
        <v>0</v>
      </c>
    </row>
    <row r="330" spans="1:8" s="478" customFormat="1" hidden="1">
      <c r="A330" s="476" t="s">
        <v>992</v>
      </c>
      <c r="B330" s="477"/>
      <c r="C330" s="473" t="s">
        <v>1891</v>
      </c>
      <c r="D330" s="475" t="s">
        <v>281</v>
      </c>
      <c r="E330" s="466" t="str">
        <f t="shared" ref="E330:E394" si="5">LEFT(A330,2)</f>
        <v>KN</v>
      </c>
      <c r="F330" s="467">
        <v>50</v>
      </c>
      <c r="G330" s="467" t="s">
        <v>28</v>
      </c>
      <c r="H330" s="467">
        <v>0</v>
      </c>
    </row>
    <row r="331" spans="1:8" s="478" customFormat="1" hidden="1">
      <c r="A331" s="476" t="s">
        <v>991</v>
      </c>
      <c r="B331" s="477"/>
      <c r="C331" s="473" t="s">
        <v>1892</v>
      </c>
      <c r="D331" s="475" t="s">
        <v>281</v>
      </c>
      <c r="E331" s="466" t="str">
        <f t="shared" si="5"/>
        <v>KN</v>
      </c>
      <c r="F331" s="467">
        <v>50</v>
      </c>
      <c r="G331" s="467" t="s">
        <v>28</v>
      </c>
      <c r="H331" s="467">
        <v>0</v>
      </c>
    </row>
    <row r="332" spans="1:8" s="478" customFormat="1" hidden="1">
      <c r="A332" s="476" t="s">
        <v>1893</v>
      </c>
      <c r="B332" s="477"/>
      <c r="C332" s="473" t="s">
        <v>1894</v>
      </c>
      <c r="D332" s="475" t="s">
        <v>281</v>
      </c>
      <c r="E332" s="466" t="str">
        <f t="shared" si="5"/>
        <v>KN</v>
      </c>
      <c r="F332" s="467">
        <v>50</v>
      </c>
      <c r="G332" s="467" t="s">
        <v>28</v>
      </c>
      <c r="H332" s="467" t="e">
        <v>#N/A</v>
      </c>
    </row>
    <row r="333" spans="1:8" s="478" customFormat="1" hidden="1">
      <c r="A333" s="476" t="s">
        <v>1895</v>
      </c>
      <c r="B333" s="477"/>
      <c r="C333" s="473" t="s">
        <v>1896</v>
      </c>
      <c r="D333" s="475" t="s">
        <v>281</v>
      </c>
      <c r="E333" s="466" t="str">
        <f t="shared" si="5"/>
        <v>KN</v>
      </c>
      <c r="F333" s="467">
        <v>50</v>
      </c>
      <c r="G333" s="467" t="s">
        <v>28</v>
      </c>
      <c r="H333" s="467" t="e">
        <v>#N/A</v>
      </c>
    </row>
    <row r="334" spans="1:8" s="478" customFormat="1" hidden="1">
      <c r="A334" s="476" t="s">
        <v>1897</v>
      </c>
      <c r="B334" s="477"/>
      <c r="C334" s="473" t="s">
        <v>1898</v>
      </c>
      <c r="D334" s="475" t="s">
        <v>281</v>
      </c>
      <c r="E334" s="466" t="str">
        <f t="shared" si="5"/>
        <v>KN</v>
      </c>
      <c r="F334" s="467">
        <v>50</v>
      </c>
      <c r="G334" s="467" t="s">
        <v>28</v>
      </c>
      <c r="H334" s="467" t="e">
        <v>#N/A</v>
      </c>
    </row>
    <row r="335" spans="1:8" hidden="1">
      <c r="A335" s="489" t="s">
        <v>1071</v>
      </c>
      <c r="B335" s="490"/>
      <c r="C335" s="489" t="s">
        <v>1899</v>
      </c>
      <c r="D335" s="491" t="s">
        <v>281</v>
      </c>
      <c r="E335" s="466" t="str">
        <f t="shared" si="5"/>
        <v>GN</v>
      </c>
      <c r="F335" s="467">
        <v>50</v>
      </c>
      <c r="G335" s="467" t="s">
        <v>28</v>
      </c>
      <c r="H335" s="467">
        <v>0</v>
      </c>
    </row>
    <row r="336" spans="1:8" hidden="1">
      <c r="A336" s="479" t="s">
        <v>825</v>
      </c>
      <c r="B336" s="480"/>
      <c r="C336" s="479" t="s">
        <v>1900</v>
      </c>
      <c r="D336" s="481" t="s">
        <v>281</v>
      </c>
      <c r="E336" s="466" t="str">
        <f t="shared" si="5"/>
        <v>MA</v>
      </c>
      <c r="F336" s="467">
        <v>50</v>
      </c>
      <c r="G336" s="467" t="s">
        <v>28</v>
      </c>
      <c r="H336" s="467">
        <v>1</v>
      </c>
    </row>
    <row r="337" spans="1:8" hidden="1">
      <c r="A337" s="479" t="s">
        <v>975</v>
      </c>
      <c r="B337" s="480"/>
      <c r="C337" s="479" t="s">
        <v>1901</v>
      </c>
      <c r="D337" s="481" t="s">
        <v>281</v>
      </c>
      <c r="E337" s="466" t="str">
        <f t="shared" si="5"/>
        <v>MN</v>
      </c>
      <c r="F337" s="467">
        <v>50</v>
      </c>
      <c r="G337" s="467" t="s">
        <v>28</v>
      </c>
      <c r="H337" s="467">
        <v>0</v>
      </c>
    </row>
    <row r="338" spans="1:8" hidden="1">
      <c r="A338" s="479" t="s">
        <v>1902</v>
      </c>
      <c r="B338" s="480"/>
      <c r="C338" s="479" t="s">
        <v>1903</v>
      </c>
      <c r="D338" s="481" t="s">
        <v>281</v>
      </c>
      <c r="E338" s="466" t="str">
        <f t="shared" si="5"/>
        <v>MN</v>
      </c>
      <c r="F338" s="467">
        <v>50</v>
      </c>
      <c r="G338" s="467" t="s">
        <v>28</v>
      </c>
      <c r="H338" s="467" t="e">
        <v>#N/A</v>
      </c>
    </row>
    <row r="339" spans="1:8" hidden="1">
      <c r="A339" s="479" t="s">
        <v>958</v>
      </c>
      <c r="B339" s="480"/>
      <c r="C339" s="479" t="s">
        <v>1904</v>
      </c>
      <c r="D339" s="481" t="s">
        <v>281</v>
      </c>
      <c r="E339" s="466" t="str">
        <f t="shared" si="5"/>
        <v>MT</v>
      </c>
      <c r="F339" s="467">
        <v>50</v>
      </c>
      <c r="G339" s="467" t="s">
        <v>28</v>
      </c>
      <c r="H339" s="467">
        <v>1</v>
      </c>
    </row>
    <row r="340" spans="1:8" hidden="1">
      <c r="A340" s="479" t="s">
        <v>1905</v>
      </c>
      <c r="B340" s="480"/>
      <c r="C340" s="479" t="s">
        <v>1906</v>
      </c>
      <c r="D340" s="481" t="s">
        <v>281</v>
      </c>
      <c r="E340" s="466" t="str">
        <f t="shared" si="5"/>
        <v>MT</v>
      </c>
      <c r="F340" s="467">
        <v>50</v>
      </c>
      <c r="G340" s="467" t="s">
        <v>28</v>
      </c>
      <c r="H340" s="467" t="e">
        <v>#N/A</v>
      </c>
    </row>
    <row r="341" spans="1:8" hidden="1">
      <c r="A341" s="479" t="s">
        <v>974</v>
      </c>
      <c r="B341" s="480"/>
      <c r="C341" s="479" t="s">
        <v>1907</v>
      </c>
      <c r="D341" s="481" t="s">
        <v>281</v>
      </c>
      <c r="E341" s="466" t="str">
        <f t="shared" si="5"/>
        <v>VT</v>
      </c>
      <c r="F341" s="467">
        <v>50</v>
      </c>
      <c r="G341" s="467" t="s">
        <v>28</v>
      </c>
      <c r="H341" s="467">
        <v>0</v>
      </c>
    </row>
    <row r="342" spans="1:8" s="478" customFormat="1" hidden="1">
      <c r="A342" s="476" t="s">
        <v>1908</v>
      </c>
      <c r="B342" s="477"/>
      <c r="C342" s="473" t="s">
        <v>1909</v>
      </c>
      <c r="D342" s="475" t="s">
        <v>281</v>
      </c>
      <c r="E342" s="466" t="str">
        <f t="shared" si="5"/>
        <v>ON</v>
      </c>
      <c r="F342" s="467">
        <v>50</v>
      </c>
      <c r="G342" s="467" t="s">
        <v>28</v>
      </c>
      <c r="H342" s="467" t="e">
        <v>#N/A</v>
      </c>
    </row>
    <row r="343" spans="1:8" s="478" customFormat="1" hidden="1">
      <c r="A343" s="476" t="s">
        <v>1910</v>
      </c>
      <c r="B343" s="477"/>
      <c r="C343" s="473" t="s">
        <v>1911</v>
      </c>
      <c r="D343" s="475" t="s">
        <v>281</v>
      </c>
      <c r="E343" s="466" t="str">
        <f t="shared" si="5"/>
        <v>ON</v>
      </c>
      <c r="F343" s="467">
        <v>50</v>
      </c>
      <c r="G343" s="467" t="s">
        <v>28</v>
      </c>
      <c r="H343" s="467" t="e">
        <v>#N/A</v>
      </c>
    </row>
    <row r="344" spans="1:8" s="478" customFormat="1" hidden="1">
      <c r="A344" s="476" t="s">
        <v>1912</v>
      </c>
      <c r="B344" s="477"/>
      <c r="C344" s="473" t="s">
        <v>1913</v>
      </c>
      <c r="D344" s="475" t="s">
        <v>281</v>
      </c>
      <c r="E344" s="466" t="str">
        <f t="shared" si="5"/>
        <v>ON</v>
      </c>
      <c r="F344" s="467">
        <v>50</v>
      </c>
      <c r="G344" s="467" t="s">
        <v>28</v>
      </c>
      <c r="H344" s="467" t="e">
        <v>#N/A</v>
      </c>
    </row>
    <row r="345" spans="1:8" s="478" customFormat="1" hidden="1">
      <c r="A345" s="473" t="s">
        <v>1914</v>
      </c>
      <c r="B345" s="474"/>
      <c r="C345" s="473" t="s">
        <v>1915</v>
      </c>
      <c r="D345" s="475" t="s">
        <v>281</v>
      </c>
      <c r="E345" s="466" t="str">
        <f t="shared" si="5"/>
        <v>ON</v>
      </c>
      <c r="F345" s="467">
        <v>50</v>
      </c>
      <c r="G345" s="467" t="s">
        <v>28</v>
      </c>
      <c r="H345" s="467" t="e">
        <v>#N/A</v>
      </c>
    </row>
    <row r="346" spans="1:8" s="478" customFormat="1" hidden="1">
      <c r="A346" s="476" t="s">
        <v>1916</v>
      </c>
      <c r="B346" s="477"/>
      <c r="C346" s="473" t="s">
        <v>1917</v>
      </c>
      <c r="D346" s="475" t="s">
        <v>281</v>
      </c>
      <c r="E346" s="466" t="str">
        <f t="shared" si="5"/>
        <v>ON</v>
      </c>
      <c r="F346" s="467">
        <v>50</v>
      </c>
      <c r="G346" s="467" t="s">
        <v>28</v>
      </c>
      <c r="H346" s="467" t="e">
        <v>#N/A</v>
      </c>
    </row>
    <row r="347" spans="1:8" s="478" customFormat="1" hidden="1">
      <c r="A347" s="476" t="s">
        <v>1918</v>
      </c>
      <c r="B347" s="477"/>
      <c r="C347" s="473" t="s">
        <v>1919</v>
      </c>
      <c r="D347" s="475" t="s">
        <v>281</v>
      </c>
      <c r="E347" s="466" t="str">
        <f t="shared" si="5"/>
        <v>ON</v>
      </c>
      <c r="F347" s="467">
        <v>50</v>
      </c>
      <c r="G347" s="467" t="s">
        <v>28</v>
      </c>
      <c r="H347" s="467" t="e">
        <v>#N/A</v>
      </c>
    </row>
    <row r="348" spans="1:8" s="478" customFormat="1" hidden="1">
      <c r="A348" s="476" t="s">
        <v>1920</v>
      </c>
      <c r="B348" s="477"/>
      <c r="C348" s="473" t="s">
        <v>1921</v>
      </c>
      <c r="D348" s="475" t="s">
        <v>281</v>
      </c>
      <c r="E348" s="466" t="str">
        <f t="shared" si="5"/>
        <v>ON</v>
      </c>
      <c r="F348" s="467">
        <v>50</v>
      </c>
      <c r="G348" s="467" t="s">
        <v>28</v>
      </c>
      <c r="H348" s="467" t="e">
        <v>#N/A</v>
      </c>
    </row>
    <row r="349" spans="1:8" s="478" customFormat="1" hidden="1">
      <c r="A349" s="484" t="s">
        <v>1922</v>
      </c>
      <c r="B349" s="485"/>
      <c r="C349" s="469" t="s">
        <v>1923</v>
      </c>
      <c r="D349" s="471" t="s">
        <v>281</v>
      </c>
      <c r="E349" s="466" t="str">
        <f t="shared" si="5"/>
        <v>ON</v>
      </c>
      <c r="F349" s="467">
        <v>50</v>
      </c>
      <c r="G349" s="467" t="s">
        <v>28</v>
      </c>
      <c r="H349" s="467" t="e">
        <v>#N/A</v>
      </c>
    </row>
    <row r="350" spans="1:8" s="478" customFormat="1" hidden="1">
      <c r="A350" s="484" t="s">
        <v>1016</v>
      </c>
      <c r="B350" s="485"/>
      <c r="C350" s="469" t="s">
        <v>1924</v>
      </c>
      <c r="D350" s="471" t="s">
        <v>281</v>
      </c>
      <c r="E350" s="466" t="str">
        <f t="shared" si="5"/>
        <v>ON</v>
      </c>
      <c r="F350" s="467">
        <v>50</v>
      </c>
      <c r="G350" s="467" t="s">
        <v>28</v>
      </c>
      <c r="H350" s="467">
        <v>0</v>
      </c>
    </row>
    <row r="351" spans="1:8" s="478" customFormat="1" hidden="1">
      <c r="A351" s="484" t="s">
        <v>1017</v>
      </c>
      <c r="B351" s="485"/>
      <c r="C351" s="469" t="s">
        <v>1925</v>
      </c>
      <c r="D351" s="471" t="s">
        <v>281</v>
      </c>
      <c r="E351" s="466" t="str">
        <f t="shared" si="5"/>
        <v>ON</v>
      </c>
      <c r="F351" s="467">
        <v>50</v>
      </c>
      <c r="G351" s="467" t="s">
        <v>28</v>
      </c>
      <c r="H351" s="467">
        <v>0</v>
      </c>
    </row>
    <row r="352" spans="1:8" s="478" customFormat="1" hidden="1">
      <c r="A352" s="469" t="s">
        <v>1018</v>
      </c>
      <c r="B352" s="470"/>
      <c r="C352" s="469" t="s">
        <v>1926</v>
      </c>
      <c r="D352" s="471" t="s">
        <v>281</v>
      </c>
      <c r="E352" s="466" t="str">
        <f t="shared" si="5"/>
        <v>ON</v>
      </c>
      <c r="F352" s="467">
        <v>50</v>
      </c>
      <c r="G352" s="467" t="s">
        <v>28</v>
      </c>
      <c r="H352" s="467">
        <v>0</v>
      </c>
    </row>
    <row r="353" spans="1:8" s="478" customFormat="1" hidden="1">
      <c r="A353" s="484" t="s">
        <v>1019</v>
      </c>
      <c r="B353" s="485"/>
      <c r="C353" s="469" t="s">
        <v>1927</v>
      </c>
      <c r="D353" s="471" t="s">
        <v>281</v>
      </c>
      <c r="E353" s="466" t="str">
        <f t="shared" si="5"/>
        <v>ON</v>
      </c>
      <c r="F353" s="467">
        <v>50</v>
      </c>
      <c r="G353" s="467" t="s">
        <v>28</v>
      </c>
      <c r="H353" s="467">
        <v>0</v>
      </c>
    </row>
    <row r="354" spans="1:8" s="478" customFormat="1" hidden="1">
      <c r="A354" s="484" t="s">
        <v>1020</v>
      </c>
      <c r="B354" s="485"/>
      <c r="C354" s="469" t="s">
        <v>1928</v>
      </c>
      <c r="D354" s="471" t="s">
        <v>281</v>
      </c>
      <c r="E354" s="466" t="str">
        <f t="shared" si="5"/>
        <v>ON</v>
      </c>
      <c r="F354" s="467">
        <v>50</v>
      </c>
      <c r="G354" s="467" t="s">
        <v>28</v>
      </c>
      <c r="H354" s="467">
        <v>0</v>
      </c>
    </row>
    <row r="355" spans="1:8" s="478" customFormat="1" hidden="1">
      <c r="A355" s="484" t="s">
        <v>1021</v>
      </c>
      <c r="B355" s="485"/>
      <c r="C355" s="469" t="s">
        <v>1929</v>
      </c>
      <c r="D355" s="471" t="s">
        <v>281</v>
      </c>
      <c r="E355" s="466" t="str">
        <f t="shared" si="5"/>
        <v>ON</v>
      </c>
      <c r="F355" s="467">
        <v>50</v>
      </c>
      <c r="G355" s="467" t="s">
        <v>28</v>
      </c>
      <c r="H355" s="467">
        <v>0</v>
      </c>
    </row>
    <row r="356" spans="1:8" s="478" customFormat="1" hidden="1">
      <c r="A356" s="484" t="s">
        <v>1022</v>
      </c>
      <c r="B356" s="485"/>
      <c r="C356" s="469" t="s">
        <v>1930</v>
      </c>
      <c r="D356" s="471" t="s">
        <v>281</v>
      </c>
      <c r="E356" s="466" t="str">
        <f t="shared" si="5"/>
        <v>ON</v>
      </c>
      <c r="F356" s="467">
        <v>50</v>
      </c>
      <c r="G356" s="467" t="s">
        <v>28</v>
      </c>
      <c r="H356" s="467">
        <v>0</v>
      </c>
    </row>
    <row r="357" spans="1:8" hidden="1">
      <c r="A357" s="469" t="s">
        <v>1931</v>
      </c>
      <c r="B357" s="470"/>
      <c r="C357" s="469" t="s">
        <v>1932</v>
      </c>
      <c r="D357" s="471" t="s">
        <v>281</v>
      </c>
      <c r="E357" s="466" t="str">
        <f t="shared" si="5"/>
        <v>ON</v>
      </c>
      <c r="F357" s="467">
        <v>50</v>
      </c>
      <c r="G357" s="467" t="s">
        <v>28</v>
      </c>
      <c r="H357" s="467" t="e">
        <v>#N/A</v>
      </c>
    </row>
    <row r="358" spans="1:8" hidden="1">
      <c r="A358" s="479" t="s">
        <v>1933</v>
      </c>
      <c r="B358" s="480"/>
      <c r="C358" s="479" t="s">
        <v>1934</v>
      </c>
      <c r="D358" s="481" t="s">
        <v>281</v>
      </c>
      <c r="E358" s="466" t="str">
        <f t="shared" si="5"/>
        <v>PU</v>
      </c>
      <c r="F358" s="467">
        <v>50</v>
      </c>
      <c r="G358" s="467" t="s">
        <v>28</v>
      </c>
      <c r="H358" s="467" t="e">
        <v>#N/A</v>
      </c>
    </row>
    <row r="359" spans="1:8" hidden="1">
      <c r="A359" s="479" t="s">
        <v>951</v>
      </c>
      <c r="B359" s="480"/>
      <c r="C359" s="479" t="s">
        <v>1935</v>
      </c>
      <c r="D359" s="481" t="s">
        <v>775</v>
      </c>
      <c r="E359" s="466" t="str">
        <f t="shared" si="5"/>
        <v>R1</v>
      </c>
      <c r="F359" s="467">
        <v>50</v>
      </c>
      <c r="G359" s="467" t="s">
        <v>28</v>
      </c>
      <c r="H359" s="467">
        <v>0</v>
      </c>
    </row>
    <row r="360" spans="1:8" hidden="1">
      <c r="A360" s="479" t="s">
        <v>1118</v>
      </c>
      <c r="B360" s="480"/>
      <c r="C360" s="479" t="s">
        <v>1936</v>
      </c>
      <c r="D360" s="481" t="s">
        <v>775</v>
      </c>
      <c r="E360" s="466" t="str">
        <f t="shared" si="5"/>
        <v>R2</v>
      </c>
      <c r="F360" s="467">
        <v>50</v>
      </c>
      <c r="G360" s="467" t="s">
        <v>28</v>
      </c>
      <c r="H360" s="467">
        <v>0</v>
      </c>
    </row>
    <row r="361" spans="1:8" hidden="1">
      <c r="A361" s="479" t="s">
        <v>1119</v>
      </c>
      <c r="B361" s="480"/>
      <c r="C361" s="479" t="s">
        <v>1937</v>
      </c>
      <c r="D361" s="481" t="s">
        <v>775</v>
      </c>
      <c r="E361" s="466" t="str">
        <f t="shared" si="5"/>
        <v>R3</v>
      </c>
      <c r="F361" s="467">
        <v>50</v>
      </c>
      <c r="G361" s="467" t="s">
        <v>28</v>
      </c>
      <c r="H361" s="467">
        <v>0</v>
      </c>
    </row>
    <row r="362" spans="1:8" hidden="1">
      <c r="A362" s="479" t="s">
        <v>1120</v>
      </c>
      <c r="B362" s="480"/>
      <c r="C362" s="482" t="s">
        <v>1938</v>
      </c>
      <c r="D362" s="481" t="s">
        <v>281</v>
      </c>
      <c r="E362" s="466" t="str">
        <f t="shared" si="5"/>
        <v>R4</v>
      </c>
      <c r="F362" s="467">
        <v>50</v>
      </c>
      <c r="G362" s="467" t="s">
        <v>28</v>
      </c>
      <c r="H362" s="467">
        <v>0</v>
      </c>
    </row>
    <row r="363" spans="1:8" hidden="1">
      <c r="A363" s="479" t="s">
        <v>1939</v>
      </c>
      <c r="B363" s="480"/>
      <c r="C363" s="479" t="s">
        <v>1940</v>
      </c>
      <c r="D363" s="481" t="s">
        <v>775</v>
      </c>
      <c r="E363" s="466" t="str">
        <f t="shared" si="5"/>
        <v>R4</v>
      </c>
      <c r="F363" s="467">
        <v>50</v>
      </c>
      <c r="G363" s="467" t="s">
        <v>28</v>
      </c>
      <c r="H363" s="467">
        <v>0</v>
      </c>
    </row>
    <row r="364" spans="1:8" hidden="1">
      <c r="A364" s="489" t="s">
        <v>3892</v>
      </c>
      <c r="B364" s="501"/>
      <c r="C364" s="489" t="s">
        <v>375</v>
      </c>
      <c r="D364" s="491" t="s">
        <v>1951</v>
      </c>
      <c r="E364" s="466" t="str">
        <f t="shared" ref="E364" si="6">LEFT(A364,2)</f>
        <v>ST</v>
      </c>
      <c r="F364" s="467">
        <v>6</v>
      </c>
      <c r="G364" s="467" t="s">
        <v>28</v>
      </c>
      <c r="H364" s="467">
        <v>0</v>
      </c>
    </row>
    <row r="365" spans="1:8" hidden="1">
      <c r="A365" s="489" t="s">
        <v>963</v>
      </c>
      <c r="B365" s="501"/>
      <c r="C365" s="489" t="s">
        <v>1941</v>
      </c>
      <c r="D365" s="491" t="s">
        <v>281</v>
      </c>
      <c r="E365" s="466" t="str">
        <f t="shared" si="5"/>
        <v>SD</v>
      </c>
      <c r="F365" s="467">
        <v>6</v>
      </c>
      <c r="G365" s="467" t="s">
        <v>28</v>
      </c>
      <c r="H365" s="467">
        <v>0</v>
      </c>
    </row>
    <row r="366" spans="1:8" hidden="1">
      <c r="A366" s="489" t="s">
        <v>1942</v>
      </c>
      <c r="B366" s="501"/>
      <c r="C366" s="489" t="s">
        <v>1943</v>
      </c>
      <c r="D366" s="491" t="s">
        <v>775</v>
      </c>
      <c r="E366" s="466" t="str">
        <f t="shared" si="5"/>
        <v>SD</v>
      </c>
      <c r="F366" s="467">
        <v>6</v>
      </c>
      <c r="G366" s="467" t="s">
        <v>28</v>
      </c>
      <c r="H366" s="467" t="e">
        <v>#N/A</v>
      </c>
    </row>
    <row r="367" spans="1:8" hidden="1">
      <c r="A367" s="489" t="s">
        <v>1944</v>
      </c>
      <c r="B367" s="501"/>
      <c r="C367" s="489" t="s">
        <v>1945</v>
      </c>
      <c r="D367" s="491" t="s">
        <v>775</v>
      </c>
      <c r="E367" s="466" t="str">
        <f t="shared" si="5"/>
        <v>SD</v>
      </c>
      <c r="F367" s="467">
        <v>6</v>
      </c>
      <c r="G367" s="467" t="s">
        <v>28</v>
      </c>
      <c r="H367" s="467" t="e">
        <v>#N/A</v>
      </c>
    </row>
    <row r="368" spans="1:8" hidden="1">
      <c r="A368" s="489" t="s">
        <v>1946</v>
      </c>
      <c r="B368" s="501"/>
      <c r="C368" s="489" t="s">
        <v>1947</v>
      </c>
      <c r="D368" s="491" t="s">
        <v>281</v>
      </c>
      <c r="E368" s="466" t="str">
        <f t="shared" si="5"/>
        <v>SD</v>
      </c>
      <c r="F368" s="467">
        <v>6</v>
      </c>
      <c r="G368" s="467" t="s">
        <v>28</v>
      </c>
      <c r="H368" s="467" t="e">
        <v>#N/A</v>
      </c>
    </row>
    <row r="369" spans="1:8" hidden="1">
      <c r="A369" s="489" t="s">
        <v>821</v>
      </c>
      <c r="B369" s="501"/>
      <c r="C369" s="489" t="s">
        <v>402</v>
      </c>
      <c r="D369" s="491" t="s">
        <v>281</v>
      </c>
      <c r="E369" s="466" t="str">
        <f t="shared" si="5"/>
        <v>SN</v>
      </c>
      <c r="F369" s="467">
        <v>50</v>
      </c>
      <c r="G369" s="467" t="s">
        <v>28</v>
      </c>
      <c r="H369" s="467">
        <v>1</v>
      </c>
    </row>
    <row r="370" spans="1:8" hidden="1">
      <c r="A370" s="489" t="s">
        <v>1948</v>
      </c>
      <c r="B370" s="501"/>
      <c r="C370" s="489" t="s">
        <v>1949</v>
      </c>
      <c r="D370" s="491" t="s">
        <v>281</v>
      </c>
      <c r="E370" s="466" t="str">
        <f t="shared" si="5"/>
        <v>SO</v>
      </c>
      <c r="F370" s="467">
        <v>50</v>
      </c>
      <c r="G370" s="467" t="s">
        <v>28</v>
      </c>
      <c r="H370" s="467">
        <v>0</v>
      </c>
    </row>
    <row r="371" spans="1:8" hidden="1">
      <c r="A371" s="489" t="s">
        <v>979</v>
      </c>
      <c r="B371" s="501"/>
      <c r="C371" s="489" t="s">
        <v>1950</v>
      </c>
      <c r="D371" s="491" t="s">
        <v>1951</v>
      </c>
      <c r="E371" s="466" t="str">
        <f t="shared" si="5"/>
        <v>ST</v>
      </c>
      <c r="F371" s="467">
        <v>50</v>
      </c>
      <c r="G371" s="467" t="s">
        <v>28</v>
      </c>
      <c r="H371" s="467">
        <v>0</v>
      </c>
    </row>
    <row r="372" spans="1:8" hidden="1">
      <c r="A372" s="489" t="s">
        <v>1952</v>
      </c>
      <c r="B372" s="501"/>
      <c r="C372" s="489" t="s">
        <v>1953</v>
      </c>
      <c r="D372" s="491" t="s">
        <v>1951</v>
      </c>
      <c r="E372" s="466" t="str">
        <f t="shared" si="5"/>
        <v>ST</v>
      </c>
      <c r="F372" s="467">
        <v>50</v>
      </c>
      <c r="G372" s="467" t="s">
        <v>28</v>
      </c>
      <c r="H372" s="467" t="e">
        <v>#N/A</v>
      </c>
    </row>
    <row r="373" spans="1:8" hidden="1">
      <c r="A373" s="489" t="s">
        <v>1954</v>
      </c>
      <c r="B373" s="501"/>
      <c r="C373" s="489" t="s">
        <v>1955</v>
      </c>
      <c r="D373" s="491" t="s">
        <v>972</v>
      </c>
      <c r="E373" s="466" t="str">
        <f t="shared" si="5"/>
        <v>ST</v>
      </c>
      <c r="F373" s="467">
        <v>7</v>
      </c>
      <c r="G373" s="467" t="s">
        <v>28</v>
      </c>
      <c r="H373" s="467">
        <v>0</v>
      </c>
    </row>
    <row r="374" spans="1:8" hidden="1">
      <c r="A374" s="489" t="s">
        <v>1956</v>
      </c>
      <c r="B374" s="501"/>
      <c r="C374" s="489" t="s">
        <v>1957</v>
      </c>
      <c r="D374" s="491" t="s">
        <v>281</v>
      </c>
      <c r="E374" s="466" t="str">
        <f t="shared" si="5"/>
        <v>St</v>
      </c>
      <c r="F374" s="467">
        <v>50</v>
      </c>
      <c r="G374" s="467" t="s">
        <v>28</v>
      </c>
      <c r="H374" s="467" t="e">
        <v>#N/A</v>
      </c>
    </row>
    <row r="375" spans="1:8" hidden="1">
      <c r="A375" s="473" t="s">
        <v>1958</v>
      </c>
      <c r="B375" s="474"/>
      <c r="C375" s="473" t="s">
        <v>1959</v>
      </c>
      <c r="D375" s="475" t="s">
        <v>614</v>
      </c>
      <c r="E375" s="466" t="str">
        <f t="shared" si="5"/>
        <v>S4</v>
      </c>
      <c r="F375" s="467">
        <v>50</v>
      </c>
      <c r="G375" s="467" t="s">
        <v>28</v>
      </c>
      <c r="H375" s="467" t="e">
        <v>#N/A</v>
      </c>
    </row>
    <row r="376" spans="1:8" hidden="1">
      <c r="A376" s="473" t="s">
        <v>758</v>
      </c>
      <c r="B376" s="474"/>
      <c r="C376" s="473" t="s">
        <v>1960</v>
      </c>
      <c r="D376" s="475" t="s">
        <v>614</v>
      </c>
      <c r="E376" s="466" t="str">
        <f t="shared" si="5"/>
        <v>S5</v>
      </c>
      <c r="F376" s="467">
        <v>50</v>
      </c>
      <c r="G376" s="467" t="s">
        <v>28</v>
      </c>
      <c r="H376" s="467">
        <v>0.78520000000000012</v>
      </c>
    </row>
    <row r="377" spans="1:8" hidden="1">
      <c r="A377" s="473" t="s">
        <v>791</v>
      </c>
      <c r="B377" s="474"/>
      <c r="C377" s="473" t="s">
        <v>1961</v>
      </c>
      <c r="D377" s="475" t="s">
        <v>614</v>
      </c>
      <c r="E377" s="466" t="str">
        <f t="shared" si="5"/>
        <v>S6</v>
      </c>
      <c r="F377" s="467">
        <v>50</v>
      </c>
      <c r="G377" s="467" t="s">
        <v>28</v>
      </c>
      <c r="H377" s="467">
        <v>10.39968</v>
      </c>
    </row>
    <row r="378" spans="1:8" hidden="1">
      <c r="A378" s="473" t="s">
        <v>1962</v>
      </c>
      <c r="B378" s="474"/>
      <c r="C378" s="473" t="s">
        <v>1963</v>
      </c>
      <c r="D378" s="475" t="s">
        <v>614</v>
      </c>
      <c r="E378" s="466" t="str">
        <f t="shared" si="5"/>
        <v>S7</v>
      </c>
      <c r="F378" s="467">
        <v>50</v>
      </c>
      <c r="G378" s="467" t="s">
        <v>28</v>
      </c>
      <c r="H378" s="467" t="e">
        <v>#N/A</v>
      </c>
    </row>
    <row r="379" spans="1:8" hidden="1">
      <c r="A379" s="476" t="s">
        <v>1964</v>
      </c>
      <c r="B379" s="477"/>
      <c r="C379" s="473" t="s">
        <v>1965</v>
      </c>
      <c r="D379" s="475" t="s">
        <v>614</v>
      </c>
      <c r="E379" s="466" t="str">
        <f t="shared" si="5"/>
        <v>S8</v>
      </c>
      <c r="F379" s="467">
        <v>50</v>
      </c>
      <c r="G379" s="467" t="s">
        <v>28</v>
      </c>
      <c r="H379" s="467" t="e">
        <v>#N/A</v>
      </c>
    </row>
    <row r="380" spans="1:8" hidden="1">
      <c r="A380" s="476" t="s">
        <v>1966</v>
      </c>
      <c r="B380" s="477"/>
      <c r="C380" s="473" t="s">
        <v>1967</v>
      </c>
      <c r="D380" s="475" t="s">
        <v>614</v>
      </c>
      <c r="E380" s="466" t="str">
        <f t="shared" si="5"/>
        <v>S8</v>
      </c>
      <c r="F380" s="467">
        <v>50</v>
      </c>
      <c r="G380" s="467" t="s">
        <v>28</v>
      </c>
      <c r="H380" s="467" t="e">
        <v>#N/A</v>
      </c>
    </row>
    <row r="381" spans="1:8" hidden="1">
      <c r="A381" s="473" t="s">
        <v>1968</v>
      </c>
      <c r="B381" s="474"/>
      <c r="C381" s="473" t="s">
        <v>1969</v>
      </c>
      <c r="D381" s="475" t="s">
        <v>614</v>
      </c>
      <c r="E381" s="466" t="str">
        <f t="shared" si="5"/>
        <v>S1</v>
      </c>
      <c r="F381" s="467">
        <v>50</v>
      </c>
      <c r="G381" s="467" t="s">
        <v>28</v>
      </c>
      <c r="H381" s="467" t="e">
        <v>#N/A</v>
      </c>
    </row>
    <row r="382" spans="1:8" hidden="1">
      <c r="A382" s="476" t="s">
        <v>1970</v>
      </c>
      <c r="B382" s="477"/>
      <c r="C382" s="473" t="s">
        <v>1971</v>
      </c>
      <c r="D382" s="475" t="s">
        <v>614</v>
      </c>
      <c r="E382" s="466" t="str">
        <f t="shared" si="5"/>
        <v>SL</v>
      </c>
      <c r="F382" s="467">
        <v>50</v>
      </c>
      <c r="G382" s="467" t="s">
        <v>28</v>
      </c>
      <c r="H382" s="467" t="e">
        <v>#N/A</v>
      </c>
    </row>
    <row r="383" spans="1:8" hidden="1">
      <c r="A383" s="476" t="s">
        <v>1972</v>
      </c>
      <c r="B383" s="477"/>
      <c r="C383" s="473" t="s">
        <v>1973</v>
      </c>
      <c r="D383" s="475" t="s">
        <v>614</v>
      </c>
      <c r="E383" s="466" t="str">
        <f t="shared" si="5"/>
        <v>SL</v>
      </c>
      <c r="F383" s="467">
        <v>50</v>
      </c>
      <c r="G383" s="467" t="s">
        <v>28</v>
      </c>
      <c r="H383" s="467" t="e">
        <v>#N/A</v>
      </c>
    </row>
    <row r="384" spans="1:8" hidden="1">
      <c r="A384" s="473" t="s">
        <v>1372</v>
      </c>
      <c r="B384" s="474"/>
      <c r="C384" s="473" t="s">
        <v>1974</v>
      </c>
      <c r="D384" s="475" t="s">
        <v>614</v>
      </c>
      <c r="E384" s="466" t="str">
        <f t="shared" si="5"/>
        <v>SL</v>
      </c>
      <c r="F384" s="467">
        <v>50</v>
      </c>
      <c r="G384" s="467" t="s">
        <v>28</v>
      </c>
      <c r="H384" s="467">
        <v>26.3</v>
      </c>
    </row>
    <row r="385" spans="1:8" hidden="1">
      <c r="A385" s="476" t="s">
        <v>705</v>
      </c>
      <c r="B385" s="477"/>
      <c r="C385" s="473" t="s">
        <v>1975</v>
      </c>
      <c r="D385" s="475" t="s">
        <v>614</v>
      </c>
      <c r="E385" s="466" t="str">
        <f t="shared" si="5"/>
        <v>SL</v>
      </c>
      <c r="F385" s="467">
        <v>50</v>
      </c>
      <c r="G385" s="467" t="s">
        <v>28</v>
      </c>
      <c r="H385" s="467">
        <v>6.1074000000000002</v>
      </c>
    </row>
    <row r="386" spans="1:8" hidden="1">
      <c r="A386" s="473" t="s">
        <v>1976</v>
      </c>
      <c r="B386" s="474"/>
      <c r="C386" s="473" t="s">
        <v>1977</v>
      </c>
      <c r="D386" s="475" t="s">
        <v>614</v>
      </c>
      <c r="E386" s="466" t="str">
        <f t="shared" si="5"/>
        <v>SL</v>
      </c>
      <c r="F386" s="467">
        <v>50</v>
      </c>
      <c r="G386" s="467" t="s">
        <v>28</v>
      </c>
      <c r="H386" s="467" t="e">
        <v>#N/A</v>
      </c>
    </row>
    <row r="387" spans="1:8" hidden="1">
      <c r="A387" s="473" t="s">
        <v>704</v>
      </c>
      <c r="B387" s="474"/>
      <c r="C387" s="473" t="s">
        <v>773</v>
      </c>
      <c r="D387" s="475" t="s">
        <v>614</v>
      </c>
      <c r="E387" s="466" t="str">
        <f t="shared" si="5"/>
        <v>SL</v>
      </c>
      <c r="F387" s="467">
        <v>50</v>
      </c>
      <c r="G387" s="467" t="s">
        <v>28</v>
      </c>
      <c r="H387" s="467">
        <v>16.235999999999997</v>
      </c>
    </row>
    <row r="388" spans="1:8" hidden="1">
      <c r="A388" s="473" t="s">
        <v>581</v>
      </c>
      <c r="B388" s="474"/>
      <c r="C388" s="473" t="s">
        <v>1978</v>
      </c>
      <c r="D388" s="475" t="s">
        <v>614</v>
      </c>
      <c r="E388" s="466" t="str">
        <f t="shared" si="5"/>
        <v>SO</v>
      </c>
      <c r="F388" s="467">
        <v>50</v>
      </c>
      <c r="G388" s="467" t="s">
        <v>28</v>
      </c>
      <c r="H388" s="467">
        <v>193.05</v>
      </c>
    </row>
    <row r="389" spans="1:8" hidden="1">
      <c r="A389" s="473" t="s">
        <v>468</v>
      </c>
      <c r="B389" s="474"/>
      <c r="C389" s="473" t="s">
        <v>1979</v>
      </c>
      <c r="D389" s="475" t="s">
        <v>614</v>
      </c>
      <c r="E389" s="466" t="str">
        <f t="shared" si="5"/>
        <v>SO</v>
      </c>
      <c r="F389" s="467">
        <v>50</v>
      </c>
      <c r="G389" s="467" t="s">
        <v>28</v>
      </c>
      <c r="H389" s="467">
        <v>0</v>
      </c>
    </row>
    <row r="390" spans="1:8" hidden="1">
      <c r="A390" s="473" t="s">
        <v>482</v>
      </c>
      <c r="B390" s="474"/>
      <c r="C390" s="473" t="s">
        <v>1980</v>
      </c>
      <c r="D390" s="475" t="s">
        <v>614</v>
      </c>
      <c r="E390" s="466" t="str">
        <f t="shared" si="5"/>
        <v>SO</v>
      </c>
      <c r="F390" s="467">
        <v>50</v>
      </c>
      <c r="G390" s="467" t="s">
        <v>28</v>
      </c>
      <c r="H390" s="467">
        <v>0</v>
      </c>
    </row>
    <row r="391" spans="1:8" hidden="1">
      <c r="A391" s="473" t="s">
        <v>1357</v>
      </c>
      <c r="B391" s="474"/>
      <c r="C391" s="473" t="s">
        <v>1981</v>
      </c>
      <c r="D391" s="475" t="s">
        <v>614</v>
      </c>
      <c r="E391" s="466" t="str">
        <f t="shared" si="5"/>
        <v>SO</v>
      </c>
      <c r="F391" s="467">
        <v>50</v>
      </c>
      <c r="G391" s="467" t="s">
        <v>28</v>
      </c>
      <c r="H391" s="467">
        <v>0</v>
      </c>
    </row>
    <row r="392" spans="1:8" hidden="1">
      <c r="A392" s="473" t="s">
        <v>1982</v>
      </c>
      <c r="B392" s="474"/>
      <c r="C392" s="473" t="s">
        <v>1983</v>
      </c>
      <c r="D392" s="475" t="s">
        <v>614</v>
      </c>
      <c r="E392" s="466" t="str">
        <f t="shared" si="5"/>
        <v>SO</v>
      </c>
      <c r="F392" s="467">
        <v>50</v>
      </c>
      <c r="G392" s="467" t="s">
        <v>28</v>
      </c>
      <c r="H392" s="467">
        <v>53.24</v>
      </c>
    </row>
    <row r="393" spans="1:8" hidden="1">
      <c r="A393" s="473" t="s">
        <v>1984</v>
      </c>
      <c r="B393" s="474"/>
      <c r="C393" s="473" t="s">
        <v>1985</v>
      </c>
      <c r="D393" s="475" t="s">
        <v>614</v>
      </c>
      <c r="E393" s="466" t="str">
        <f t="shared" si="5"/>
        <v>SO</v>
      </c>
      <c r="F393" s="467">
        <v>50</v>
      </c>
      <c r="G393" s="467" t="s">
        <v>28</v>
      </c>
      <c r="H393" s="467" t="e">
        <v>#N/A</v>
      </c>
    </row>
    <row r="394" spans="1:8" hidden="1">
      <c r="A394" s="473" t="s">
        <v>1986</v>
      </c>
      <c r="B394" s="474"/>
      <c r="C394" s="473" t="s">
        <v>1987</v>
      </c>
      <c r="D394" s="475" t="s">
        <v>614</v>
      </c>
      <c r="E394" s="466" t="str">
        <f t="shared" si="5"/>
        <v>EK</v>
      </c>
      <c r="F394" s="467">
        <v>50</v>
      </c>
      <c r="G394" s="467" t="s">
        <v>28</v>
      </c>
      <c r="H394" s="467">
        <v>3.5</v>
      </c>
    </row>
    <row r="395" spans="1:8" hidden="1">
      <c r="A395" s="463" t="s">
        <v>1358</v>
      </c>
      <c r="B395" s="468"/>
      <c r="C395" s="510" t="s">
        <v>1988</v>
      </c>
      <c r="D395" s="465" t="s">
        <v>614</v>
      </c>
      <c r="E395" s="466" t="str">
        <f t="shared" ref="E395:E462" si="7">LEFT(A395,2)</f>
        <v>th</v>
      </c>
      <c r="F395" s="467">
        <v>50</v>
      </c>
      <c r="G395" s="467" t="s">
        <v>28</v>
      </c>
      <c r="H395" s="467">
        <v>2.92</v>
      </c>
    </row>
    <row r="396" spans="1:8" hidden="1">
      <c r="A396" s="463" t="s">
        <v>1989</v>
      </c>
      <c r="B396" s="468"/>
      <c r="C396" s="510" t="s">
        <v>1990</v>
      </c>
      <c r="D396" s="465" t="s">
        <v>614</v>
      </c>
      <c r="E396" s="466" t="str">
        <f t="shared" si="7"/>
        <v>th</v>
      </c>
      <c r="F396" s="467">
        <v>50</v>
      </c>
      <c r="G396" s="467" t="s">
        <v>28</v>
      </c>
      <c r="H396" s="467" t="e">
        <v>#N/A</v>
      </c>
    </row>
    <row r="397" spans="1:8" hidden="1">
      <c r="A397" s="463" t="s">
        <v>1991</v>
      </c>
      <c r="B397" s="468"/>
      <c r="C397" s="510" t="s">
        <v>1992</v>
      </c>
      <c r="D397" s="465" t="s">
        <v>614</v>
      </c>
      <c r="E397" s="466" t="str">
        <f t="shared" si="7"/>
        <v>th</v>
      </c>
      <c r="F397" s="467">
        <v>50</v>
      </c>
      <c r="G397" s="467" t="s">
        <v>28</v>
      </c>
      <c r="H397" s="467">
        <v>3.14</v>
      </c>
    </row>
    <row r="398" spans="1:8">
      <c r="A398" s="463" t="s">
        <v>1993</v>
      </c>
      <c r="B398" s="468"/>
      <c r="C398" s="510" t="s">
        <v>1994</v>
      </c>
      <c r="D398" s="465" t="s">
        <v>614</v>
      </c>
      <c r="E398" s="466" t="str">
        <f t="shared" si="7"/>
        <v>th</v>
      </c>
      <c r="F398" s="467">
        <v>50</v>
      </c>
      <c r="G398" s="467" t="s">
        <v>28</v>
      </c>
      <c r="H398" s="467">
        <v>45.22</v>
      </c>
    </row>
    <row r="399" spans="1:8" hidden="1">
      <c r="A399" s="479" t="s">
        <v>841</v>
      </c>
      <c r="B399" s="480"/>
      <c r="C399" s="479" t="s">
        <v>1995</v>
      </c>
      <c r="D399" s="481" t="s">
        <v>775</v>
      </c>
      <c r="E399" s="466" t="str">
        <f t="shared" si="7"/>
        <v>CL</v>
      </c>
      <c r="F399" s="467">
        <v>50</v>
      </c>
      <c r="G399" s="467" t="s">
        <v>28</v>
      </c>
      <c r="H399" s="467">
        <v>1</v>
      </c>
    </row>
    <row r="400" spans="1:8" hidden="1">
      <c r="A400" s="479" t="s">
        <v>835</v>
      </c>
      <c r="B400" s="480"/>
      <c r="C400" s="479" t="s">
        <v>1996</v>
      </c>
      <c r="D400" s="481" t="s">
        <v>775</v>
      </c>
      <c r="E400" s="466" t="str">
        <f t="shared" si="7"/>
        <v>CL</v>
      </c>
      <c r="F400" s="467">
        <v>50</v>
      </c>
      <c r="G400" s="467" t="s">
        <v>28</v>
      </c>
      <c r="H400" s="467">
        <v>1</v>
      </c>
    </row>
    <row r="401" spans="1:8" hidden="1">
      <c r="A401" s="482" t="s">
        <v>912</v>
      </c>
      <c r="B401" s="483"/>
      <c r="C401" s="482" t="s">
        <v>1997</v>
      </c>
      <c r="D401" s="481" t="s">
        <v>281</v>
      </c>
      <c r="E401" s="466" t="str">
        <f t="shared" si="7"/>
        <v>TN</v>
      </c>
      <c r="F401" s="467">
        <v>50</v>
      </c>
      <c r="G401" s="467" t="s">
        <v>28</v>
      </c>
      <c r="H401" s="467">
        <v>1</v>
      </c>
    </row>
    <row r="402" spans="1:8" hidden="1">
      <c r="A402" s="482" t="s">
        <v>1998</v>
      </c>
      <c r="B402" s="483"/>
      <c r="C402" s="482" t="s">
        <v>1999</v>
      </c>
      <c r="D402" s="481" t="s">
        <v>281</v>
      </c>
      <c r="E402" s="466" t="str">
        <f t="shared" si="7"/>
        <v>TN</v>
      </c>
      <c r="F402" s="467">
        <v>50</v>
      </c>
      <c r="G402" s="467" t="s">
        <v>28</v>
      </c>
      <c r="H402" s="467" t="e">
        <v>#N/A</v>
      </c>
    </row>
    <row r="403" spans="1:8" hidden="1">
      <c r="A403" s="482" t="s">
        <v>2000</v>
      </c>
      <c r="B403" s="483"/>
      <c r="C403" s="482" t="s">
        <v>2001</v>
      </c>
      <c r="D403" s="481" t="s">
        <v>281</v>
      </c>
      <c r="E403" s="466" t="str">
        <f t="shared" si="7"/>
        <v>TN</v>
      </c>
      <c r="F403" s="467">
        <v>50</v>
      </c>
      <c r="G403" s="467" t="s">
        <v>28</v>
      </c>
      <c r="H403" s="467" t="e">
        <v>#N/A</v>
      </c>
    </row>
    <row r="404" spans="1:8" hidden="1">
      <c r="A404" s="482" t="s">
        <v>898</v>
      </c>
      <c r="B404" s="483"/>
      <c r="C404" s="482" t="s">
        <v>2002</v>
      </c>
      <c r="D404" s="481" t="s">
        <v>281</v>
      </c>
      <c r="E404" s="466" t="str">
        <f t="shared" si="7"/>
        <v>TN</v>
      </c>
      <c r="F404" s="467">
        <v>50</v>
      </c>
      <c r="G404" s="467" t="s">
        <v>28</v>
      </c>
      <c r="H404" s="467">
        <v>1</v>
      </c>
    </row>
    <row r="405" spans="1:8" hidden="1">
      <c r="A405" s="482" t="s">
        <v>906</v>
      </c>
      <c r="B405" s="483"/>
      <c r="C405" s="482" t="s">
        <v>2003</v>
      </c>
      <c r="D405" s="481" t="s">
        <v>281</v>
      </c>
      <c r="E405" s="466" t="str">
        <f t="shared" si="7"/>
        <v>TN</v>
      </c>
      <c r="F405" s="467">
        <v>50</v>
      </c>
      <c r="G405" s="467" t="s">
        <v>28</v>
      </c>
      <c r="H405" s="467">
        <v>1</v>
      </c>
    </row>
    <row r="406" spans="1:8" hidden="1">
      <c r="A406" s="482" t="s">
        <v>915</v>
      </c>
      <c r="B406" s="483"/>
      <c r="C406" s="482" t="s">
        <v>2004</v>
      </c>
      <c r="D406" s="481" t="s">
        <v>281</v>
      </c>
      <c r="E406" s="466" t="str">
        <f t="shared" si="7"/>
        <v>TN</v>
      </c>
      <c r="F406" s="467">
        <v>50</v>
      </c>
      <c r="G406" s="467" t="s">
        <v>28</v>
      </c>
      <c r="H406" s="467">
        <v>1</v>
      </c>
    </row>
    <row r="407" spans="1:8">
      <c r="A407" s="479" t="s">
        <v>899</v>
      </c>
      <c r="B407" s="483" t="s">
        <v>1392</v>
      </c>
      <c r="C407" s="479" t="s">
        <v>2005</v>
      </c>
      <c r="D407" s="481" t="s">
        <v>281</v>
      </c>
      <c r="E407" s="466" t="str">
        <f t="shared" si="7"/>
        <v>NX</v>
      </c>
      <c r="F407" s="467">
        <v>50</v>
      </c>
      <c r="G407" s="467" t="s">
        <v>28</v>
      </c>
      <c r="H407" s="467">
        <v>1</v>
      </c>
    </row>
    <row r="408" spans="1:8" hidden="1">
      <c r="A408" s="473" t="s">
        <v>2006</v>
      </c>
      <c r="B408" s="474" t="s">
        <v>2007</v>
      </c>
      <c r="C408" s="473" t="s">
        <v>2008</v>
      </c>
      <c r="D408" s="475" t="s">
        <v>775</v>
      </c>
      <c r="E408" s="466" t="str">
        <f t="shared" si="7"/>
        <v>CD</v>
      </c>
      <c r="F408" s="467">
        <v>50</v>
      </c>
      <c r="G408" s="467" t="s">
        <v>28</v>
      </c>
      <c r="H408" s="467" t="e">
        <v>#N/A</v>
      </c>
    </row>
    <row r="409" spans="1:8" hidden="1">
      <c r="A409" s="473" t="s">
        <v>2009</v>
      </c>
      <c r="B409" s="474" t="s">
        <v>2007</v>
      </c>
      <c r="C409" s="473" t="s">
        <v>2010</v>
      </c>
      <c r="D409" s="475" t="s">
        <v>775</v>
      </c>
      <c r="E409" s="466" t="str">
        <f t="shared" si="7"/>
        <v>CD</v>
      </c>
      <c r="F409" s="467">
        <v>50</v>
      </c>
      <c r="G409" s="467" t="s">
        <v>28</v>
      </c>
      <c r="H409" s="467" t="e">
        <v>#N/A</v>
      </c>
    </row>
    <row r="410" spans="1:8" hidden="1">
      <c r="A410" s="473" t="s">
        <v>2011</v>
      </c>
      <c r="B410" s="474" t="s">
        <v>2007</v>
      </c>
      <c r="C410" s="473" t="s">
        <v>2012</v>
      </c>
      <c r="D410" s="475" t="s">
        <v>775</v>
      </c>
      <c r="E410" s="466" t="str">
        <f t="shared" si="7"/>
        <v>CD</v>
      </c>
      <c r="F410" s="467">
        <v>50</v>
      </c>
      <c r="G410" s="467" t="s">
        <v>28</v>
      </c>
      <c r="H410" s="467" t="e">
        <v>#N/A</v>
      </c>
    </row>
    <row r="411" spans="1:8" hidden="1">
      <c r="A411" s="473" t="s">
        <v>2013</v>
      </c>
      <c r="B411" s="474" t="s">
        <v>2007</v>
      </c>
      <c r="C411" s="473" t="s">
        <v>2014</v>
      </c>
      <c r="D411" s="475" t="s">
        <v>775</v>
      </c>
      <c r="E411" s="466" t="str">
        <f t="shared" si="7"/>
        <v>CD</v>
      </c>
      <c r="F411" s="467">
        <v>50</v>
      </c>
      <c r="G411" s="467" t="s">
        <v>28</v>
      </c>
      <c r="H411" s="467" t="e">
        <v>#N/A</v>
      </c>
    </row>
    <row r="412" spans="1:8" hidden="1">
      <c r="A412" s="473" t="s">
        <v>2015</v>
      </c>
      <c r="B412" s="474" t="s">
        <v>2007</v>
      </c>
      <c r="C412" s="473" t="s">
        <v>2016</v>
      </c>
      <c r="D412" s="475" t="s">
        <v>775</v>
      </c>
      <c r="E412" s="466" t="str">
        <f t="shared" si="7"/>
        <v>CD</v>
      </c>
      <c r="F412" s="467">
        <v>50</v>
      </c>
      <c r="G412" s="467" t="s">
        <v>28</v>
      </c>
      <c r="H412" s="467" t="e">
        <v>#N/A</v>
      </c>
    </row>
    <row r="413" spans="1:8" hidden="1">
      <c r="A413" s="473" t="s">
        <v>2017</v>
      </c>
      <c r="B413" s="474" t="s">
        <v>2018</v>
      </c>
      <c r="C413" s="473" t="s">
        <v>2019</v>
      </c>
      <c r="D413" s="475" t="s">
        <v>775</v>
      </c>
      <c r="E413" s="466" t="str">
        <f t="shared" si="7"/>
        <v>LC</v>
      </c>
      <c r="F413" s="467">
        <v>2000</v>
      </c>
      <c r="G413" s="467" t="s">
        <v>28</v>
      </c>
      <c r="H413" s="467" t="s">
        <v>775</v>
      </c>
    </row>
    <row r="414" spans="1:8" hidden="1">
      <c r="A414" s="473" t="s">
        <v>2020</v>
      </c>
      <c r="B414" s="474" t="s">
        <v>2007</v>
      </c>
      <c r="C414" s="473" t="s">
        <v>2021</v>
      </c>
      <c r="D414" s="475" t="s">
        <v>775</v>
      </c>
      <c r="E414" s="466" t="str">
        <f t="shared" si="7"/>
        <v>CD</v>
      </c>
      <c r="F414" s="467">
        <v>50</v>
      </c>
      <c r="G414" s="467" t="s">
        <v>28</v>
      </c>
      <c r="H414" s="467">
        <v>3</v>
      </c>
    </row>
    <row r="415" spans="1:8" hidden="1">
      <c r="A415" s="473" t="s">
        <v>2022</v>
      </c>
      <c r="B415" s="474" t="s">
        <v>2007</v>
      </c>
      <c r="C415" s="473" t="s">
        <v>2023</v>
      </c>
      <c r="D415" s="475" t="s">
        <v>775</v>
      </c>
      <c r="E415" s="466" t="str">
        <f t="shared" si="7"/>
        <v>CD</v>
      </c>
      <c r="F415" s="467">
        <v>50</v>
      </c>
      <c r="G415" s="467" t="s">
        <v>28</v>
      </c>
      <c r="H415" s="467" t="s">
        <v>775</v>
      </c>
    </row>
    <row r="416" spans="1:8" hidden="1">
      <c r="A416" s="473" t="s">
        <v>1221</v>
      </c>
      <c r="B416" s="474" t="s">
        <v>2007</v>
      </c>
      <c r="C416" s="473" t="s">
        <v>2024</v>
      </c>
      <c r="D416" s="475" t="s">
        <v>775</v>
      </c>
      <c r="E416" s="466" t="str">
        <f t="shared" si="7"/>
        <v>CD</v>
      </c>
      <c r="F416" s="467">
        <v>50</v>
      </c>
      <c r="G416" s="467" t="s">
        <v>28</v>
      </c>
      <c r="H416" s="467">
        <v>0</v>
      </c>
    </row>
    <row r="417" spans="1:8" hidden="1">
      <c r="A417" s="473" t="s">
        <v>2025</v>
      </c>
      <c r="B417" s="474" t="s">
        <v>2007</v>
      </c>
      <c r="C417" s="473" t="s">
        <v>2026</v>
      </c>
      <c r="D417" s="475" t="s">
        <v>775</v>
      </c>
      <c r="E417" s="466" t="str">
        <f t="shared" si="7"/>
        <v>CD</v>
      </c>
      <c r="F417" s="467">
        <v>50</v>
      </c>
      <c r="G417" s="467" t="s">
        <v>28</v>
      </c>
      <c r="H417" s="467">
        <v>0</v>
      </c>
    </row>
    <row r="418" spans="1:8" hidden="1">
      <c r="A418" s="473" t="s">
        <v>1227</v>
      </c>
      <c r="B418" s="474" t="s">
        <v>2007</v>
      </c>
      <c r="C418" s="473" t="s">
        <v>2027</v>
      </c>
      <c r="D418" s="475" t="s">
        <v>775</v>
      </c>
      <c r="E418" s="466" t="str">
        <f t="shared" si="7"/>
        <v>CD</v>
      </c>
      <c r="F418" s="467">
        <v>50</v>
      </c>
      <c r="G418" s="467" t="s">
        <v>28</v>
      </c>
      <c r="H418" s="467">
        <v>0</v>
      </c>
    </row>
    <row r="419" spans="1:8" hidden="1">
      <c r="A419" s="473" t="s">
        <v>2028</v>
      </c>
      <c r="B419" s="474" t="s">
        <v>2007</v>
      </c>
      <c r="C419" s="473" t="s">
        <v>2029</v>
      </c>
      <c r="D419" s="475" t="s">
        <v>775</v>
      </c>
      <c r="E419" s="466" t="str">
        <f t="shared" si="7"/>
        <v>CD</v>
      </c>
      <c r="F419" s="467">
        <v>50</v>
      </c>
      <c r="G419" s="467" t="s">
        <v>28</v>
      </c>
      <c r="H419" s="467" t="s">
        <v>775</v>
      </c>
    </row>
    <row r="420" spans="1:8" hidden="1">
      <c r="A420" s="473" t="s">
        <v>2030</v>
      </c>
      <c r="B420" s="474" t="s">
        <v>2007</v>
      </c>
      <c r="C420" s="473" t="s">
        <v>2031</v>
      </c>
      <c r="D420" s="475" t="s">
        <v>775</v>
      </c>
      <c r="E420" s="466" t="str">
        <f t="shared" si="7"/>
        <v>CD</v>
      </c>
      <c r="F420" s="467">
        <v>50</v>
      </c>
      <c r="G420" s="467" t="s">
        <v>28</v>
      </c>
      <c r="H420" s="467" t="e">
        <v>#N/A</v>
      </c>
    </row>
    <row r="421" spans="1:8" hidden="1">
      <c r="A421" s="473" t="s">
        <v>2032</v>
      </c>
      <c r="B421" s="474" t="s">
        <v>2007</v>
      </c>
      <c r="C421" s="473" t="s">
        <v>2033</v>
      </c>
      <c r="D421" s="475" t="s">
        <v>775</v>
      </c>
      <c r="E421" s="466" t="str">
        <f t="shared" si="7"/>
        <v>CD</v>
      </c>
      <c r="F421" s="467">
        <v>50</v>
      </c>
      <c r="G421" s="467" t="s">
        <v>28</v>
      </c>
      <c r="H421" s="467">
        <v>1</v>
      </c>
    </row>
    <row r="422" spans="1:8" hidden="1">
      <c r="A422" s="473" t="s">
        <v>2034</v>
      </c>
      <c r="B422" s="474" t="s">
        <v>2007</v>
      </c>
      <c r="C422" s="473" t="s">
        <v>2035</v>
      </c>
      <c r="D422" s="475" t="s">
        <v>775</v>
      </c>
      <c r="E422" s="466" t="str">
        <f t="shared" si="7"/>
        <v>CD</v>
      </c>
      <c r="F422" s="467">
        <v>50</v>
      </c>
      <c r="G422" s="467" t="s">
        <v>28</v>
      </c>
      <c r="H422" s="467" t="e">
        <v>#N/A</v>
      </c>
    </row>
    <row r="423" spans="1:8" hidden="1">
      <c r="A423" s="473" t="s">
        <v>2036</v>
      </c>
      <c r="B423" s="474" t="s">
        <v>2007</v>
      </c>
      <c r="C423" s="473" t="s">
        <v>2037</v>
      </c>
      <c r="D423" s="475" t="s">
        <v>775</v>
      </c>
      <c r="E423" s="466" t="str">
        <f t="shared" si="7"/>
        <v>CD</v>
      </c>
      <c r="F423" s="467">
        <v>50</v>
      </c>
      <c r="G423" s="467" t="s">
        <v>28</v>
      </c>
      <c r="H423" s="467">
        <v>1</v>
      </c>
    </row>
    <row r="424" spans="1:8" hidden="1">
      <c r="A424" s="473" t="s">
        <v>2038</v>
      </c>
      <c r="B424" s="474" t="s">
        <v>2007</v>
      </c>
      <c r="C424" s="473" t="s">
        <v>2039</v>
      </c>
      <c r="D424" s="475" t="s">
        <v>775</v>
      </c>
      <c r="E424" s="466" t="str">
        <f t="shared" si="7"/>
        <v>CD</v>
      </c>
      <c r="F424" s="467">
        <v>50</v>
      </c>
      <c r="G424" s="467" t="s">
        <v>28</v>
      </c>
      <c r="H424" s="467">
        <v>2</v>
      </c>
    </row>
    <row r="425" spans="1:8" hidden="1">
      <c r="A425" s="473" t="s">
        <v>2040</v>
      </c>
      <c r="B425" s="474" t="s">
        <v>2007</v>
      </c>
      <c r="C425" s="473" t="s">
        <v>2041</v>
      </c>
      <c r="D425" s="475" t="s">
        <v>775</v>
      </c>
      <c r="E425" s="466" t="str">
        <f t="shared" si="7"/>
        <v>CD</v>
      </c>
      <c r="F425" s="467">
        <v>50</v>
      </c>
      <c r="G425" s="467" t="s">
        <v>28</v>
      </c>
      <c r="H425" s="467">
        <v>2</v>
      </c>
    </row>
    <row r="426" spans="1:8" hidden="1">
      <c r="A426" s="473" t="s">
        <v>2042</v>
      </c>
      <c r="B426" s="474" t="s">
        <v>2007</v>
      </c>
      <c r="C426" s="473" t="s">
        <v>2043</v>
      </c>
      <c r="D426" s="475" t="s">
        <v>775</v>
      </c>
      <c r="E426" s="466" t="str">
        <f t="shared" si="7"/>
        <v>CD</v>
      </c>
      <c r="F426" s="467">
        <v>50</v>
      </c>
      <c r="G426" s="467" t="s">
        <v>28</v>
      </c>
      <c r="H426" s="467">
        <v>0</v>
      </c>
    </row>
    <row r="427" spans="1:8" s="478" customFormat="1" hidden="1">
      <c r="A427" s="473" t="s">
        <v>2044</v>
      </c>
      <c r="B427" s="474" t="s">
        <v>2007</v>
      </c>
      <c r="C427" s="511" t="s">
        <v>2045</v>
      </c>
      <c r="D427" s="475" t="s">
        <v>775</v>
      </c>
      <c r="E427" s="466" t="str">
        <f t="shared" si="7"/>
        <v>Cd</v>
      </c>
      <c r="F427" s="467">
        <v>50</v>
      </c>
      <c r="G427" s="467" t="s">
        <v>28</v>
      </c>
      <c r="H427" s="467">
        <v>0</v>
      </c>
    </row>
    <row r="428" spans="1:8" s="478" customFormat="1" hidden="1">
      <c r="A428" s="473" t="s">
        <v>2046</v>
      </c>
      <c r="B428" s="474" t="s">
        <v>2007</v>
      </c>
      <c r="C428" s="511" t="s">
        <v>2047</v>
      </c>
      <c r="D428" s="475" t="s">
        <v>775</v>
      </c>
      <c r="E428" s="466" t="str">
        <f t="shared" si="7"/>
        <v>Cd</v>
      </c>
      <c r="F428" s="467">
        <v>50</v>
      </c>
      <c r="G428" s="467" t="s">
        <v>28</v>
      </c>
      <c r="H428" s="467">
        <v>0</v>
      </c>
    </row>
    <row r="429" spans="1:8" hidden="1">
      <c r="A429" s="473" t="s">
        <v>2048</v>
      </c>
      <c r="B429" s="474" t="s">
        <v>2007</v>
      </c>
      <c r="C429" s="511" t="s">
        <v>2049</v>
      </c>
      <c r="D429" s="475" t="s">
        <v>775</v>
      </c>
      <c r="E429" s="466" t="str">
        <f t="shared" si="7"/>
        <v>Cd</v>
      </c>
      <c r="F429" s="467">
        <v>50</v>
      </c>
      <c r="G429" s="467" t="s">
        <v>28</v>
      </c>
      <c r="H429" s="467" t="e">
        <v>#N/A</v>
      </c>
    </row>
    <row r="430" spans="1:8" hidden="1">
      <c r="A430" s="473" t="s">
        <v>2050</v>
      </c>
      <c r="B430" s="474" t="s">
        <v>2007</v>
      </c>
      <c r="C430" s="511" t="s">
        <v>2051</v>
      </c>
      <c r="D430" s="475" t="s">
        <v>775</v>
      </c>
      <c r="E430" s="466" t="str">
        <f t="shared" si="7"/>
        <v>Cd</v>
      </c>
      <c r="F430" s="467">
        <v>50</v>
      </c>
      <c r="G430" s="467" t="s">
        <v>28</v>
      </c>
      <c r="H430" s="467" t="e">
        <v>#N/A</v>
      </c>
    </row>
    <row r="431" spans="1:8" hidden="1">
      <c r="A431" s="473" t="s">
        <v>2052</v>
      </c>
      <c r="B431" s="474" t="s">
        <v>2007</v>
      </c>
      <c r="C431" s="511" t="s">
        <v>2053</v>
      </c>
      <c r="D431" s="475" t="s">
        <v>775</v>
      </c>
      <c r="E431" s="466" t="str">
        <f t="shared" si="7"/>
        <v>Cd</v>
      </c>
      <c r="F431" s="467">
        <v>50</v>
      </c>
      <c r="G431" s="467" t="s">
        <v>28</v>
      </c>
      <c r="H431" s="467">
        <v>0</v>
      </c>
    </row>
    <row r="432" spans="1:8" hidden="1">
      <c r="A432" s="473" t="s">
        <v>2054</v>
      </c>
      <c r="B432" s="474" t="s">
        <v>2007</v>
      </c>
      <c r="C432" s="511" t="s">
        <v>2055</v>
      </c>
      <c r="D432" s="475" t="s">
        <v>775</v>
      </c>
      <c r="E432" s="466" t="str">
        <f t="shared" si="7"/>
        <v>Cd</v>
      </c>
      <c r="F432" s="467">
        <v>50</v>
      </c>
      <c r="G432" s="467" t="s">
        <v>28</v>
      </c>
      <c r="H432" s="467" t="e">
        <v>#N/A</v>
      </c>
    </row>
    <row r="433" spans="1:8" hidden="1">
      <c r="A433" s="473" t="s">
        <v>727</v>
      </c>
      <c r="B433" s="474" t="s">
        <v>2007</v>
      </c>
      <c r="C433" s="512" t="s">
        <v>2056</v>
      </c>
      <c r="D433" s="475" t="s">
        <v>775</v>
      </c>
      <c r="E433" s="466" t="str">
        <f t="shared" si="7"/>
        <v>CD</v>
      </c>
      <c r="F433" s="467">
        <v>50</v>
      </c>
      <c r="G433" s="467" t="s">
        <v>28</v>
      </c>
      <c r="H433" s="467">
        <v>0</v>
      </c>
    </row>
    <row r="434" spans="1:8" hidden="1">
      <c r="A434" s="473" t="s">
        <v>2057</v>
      </c>
      <c r="B434" s="474" t="s">
        <v>2007</v>
      </c>
      <c r="C434" s="511" t="s">
        <v>2058</v>
      </c>
      <c r="D434" s="475" t="s">
        <v>775</v>
      </c>
      <c r="E434" s="466" t="str">
        <f t="shared" si="7"/>
        <v>CD</v>
      </c>
      <c r="F434" s="467">
        <v>50</v>
      </c>
      <c r="G434" s="467" t="s">
        <v>28</v>
      </c>
      <c r="H434" s="467" t="e">
        <v>#N/A</v>
      </c>
    </row>
    <row r="435" spans="1:8" hidden="1">
      <c r="A435" s="473" t="s">
        <v>1328</v>
      </c>
      <c r="B435" s="474" t="s">
        <v>2007</v>
      </c>
      <c r="C435" s="511" t="s">
        <v>2059</v>
      </c>
      <c r="D435" s="475" t="s">
        <v>775</v>
      </c>
      <c r="E435" s="466" t="str">
        <f t="shared" si="7"/>
        <v>CD</v>
      </c>
      <c r="F435" s="467">
        <v>50</v>
      </c>
      <c r="G435" s="467" t="s">
        <v>28</v>
      </c>
      <c r="H435" s="467">
        <v>0</v>
      </c>
    </row>
    <row r="436" spans="1:8" hidden="1">
      <c r="A436" s="473" t="s">
        <v>2060</v>
      </c>
      <c r="B436" s="474" t="s">
        <v>2007</v>
      </c>
      <c r="C436" s="473" t="s">
        <v>2061</v>
      </c>
      <c r="D436" s="475" t="s">
        <v>775</v>
      </c>
      <c r="E436" s="466" t="str">
        <f t="shared" si="7"/>
        <v>CD</v>
      </c>
      <c r="F436" s="467">
        <v>50</v>
      </c>
      <c r="G436" s="467" t="s">
        <v>28</v>
      </c>
      <c r="H436" s="467" t="e">
        <v>#N/A</v>
      </c>
    </row>
    <row r="437" spans="1:8" hidden="1">
      <c r="A437" s="473" t="s">
        <v>2062</v>
      </c>
      <c r="B437" s="474" t="s">
        <v>2007</v>
      </c>
      <c r="C437" s="511" t="s">
        <v>2063</v>
      </c>
      <c r="D437" s="475" t="s">
        <v>775</v>
      </c>
      <c r="E437" s="466" t="str">
        <f t="shared" si="7"/>
        <v>Cd</v>
      </c>
      <c r="F437" s="467">
        <v>50</v>
      </c>
      <c r="G437" s="467" t="s">
        <v>28</v>
      </c>
      <c r="H437" s="467" t="s">
        <v>775</v>
      </c>
    </row>
    <row r="438" spans="1:8" hidden="1">
      <c r="A438" s="473" t="s">
        <v>2064</v>
      </c>
      <c r="B438" s="474" t="s">
        <v>2007</v>
      </c>
      <c r="C438" s="511" t="s">
        <v>2065</v>
      </c>
      <c r="D438" s="475" t="s">
        <v>775</v>
      </c>
      <c r="E438" s="466" t="str">
        <f t="shared" si="7"/>
        <v>Cd</v>
      </c>
      <c r="F438" s="467">
        <v>50</v>
      </c>
      <c r="G438" s="467" t="s">
        <v>28</v>
      </c>
      <c r="H438" s="467" t="e">
        <v>#N/A</v>
      </c>
    </row>
    <row r="439" spans="1:8" hidden="1">
      <c r="A439" s="473" t="s">
        <v>2066</v>
      </c>
      <c r="B439" s="474" t="s">
        <v>2007</v>
      </c>
      <c r="C439" s="511" t="s">
        <v>2067</v>
      </c>
      <c r="D439" s="475" t="s">
        <v>775</v>
      </c>
      <c r="E439" s="466" t="str">
        <f t="shared" si="7"/>
        <v>Cd</v>
      </c>
      <c r="F439" s="467">
        <v>50</v>
      </c>
      <c r="G439" s="467" t="s">
        <v>28</v>
      </c>
      <c r="H439" s="467" t="s">
        <v>775</v>
      </c>
    </row>
    <row r="440" spans="1:8" hidden="1">
      <c r="A440" s="473" t="s">
        <v>2068</v>
      </c>
      <c r="B440" s="474" t="s">
        <v>2007</v>
      </c>
      <c r="C440" s="511" t="s">
        <v>2069</v>
      </c>
      <c r="D440" s="475" t="s">
        <v>775</v>
      </c>
      <c r="E440" s="466" t="str">
        <f t="shared" si="7"/>
        <v>CD</v>
      </c>
      <c r="F440" s="467">
        <v>50</v>
      </c>
      <c r="G440" s="467" t="s">
        <v>28</v>
      </c>
      <c r="H440" s="467" t="s">
        <v>775</v>
      </c>
    </row>
    <row r="441" spans="1:8" hidden="1">
      <c r="A441" s="473" t="s">
        <v>728</v>
      </c>
      <c r="B441" s="474" t="s">
        <v>2007</v>
      </c>
      <c r="C441" s="511" t="s">
        <v>2070</v>
      </c>
      <c r="D441" s="475" t="s">
        <v>775</v>
      </c>
      <c r="E441" s="466" t="str">
        <f t="shared" si="7"/>
        <v>CD</v>
      </c>
      <c r="F441" s="467">
        <v>50</v>
      </c>
      <c r="G441" s="467" t="s">
        <v>28</v>
      </c>
      <c r="H441" s="467">
        <v>0</v>
      </c>
    </row>
    <row r="442" spans="1:8" hidden="1">
      <c r="A442" s="473" t="s">
        <v>814</v>
      </c>
      <c r="B442" s="474"/>
      <c r="C442" s="511" t="s">
        <v>2071</v>
      </c>
      <c r="D442" s="475" t="s">
        <v>281</v>
      </c>
      <c r="E442" s="466" t="str">
        <f t="shared" si="7"/>
        <v>CO</v>
      </c>
      <c r="F442" s="467">
        <v>50</v>
      </c>
      <c r="G442" s="467" t="s">
        <v>28</v>
      </c>
      <c r="H442" s="467">
        <v>1</v>
      </c>
    </row>
    <row r="443" spans="1:8" hidden="1">
      <c r="A443" s="473" t="s">
        <v>2072</v>
      </c>
      <c r="B443" s="474"/>
      <c r="C443" s="511" t="s">
        <v>2073</v>
      </c>
      <c r="D443" s="475" t="s">
        <v>281</v>
      </c>
      <c r="E443" s="466" t="str">
        <f>LEFT(A443,2)</f>
        <v>CO</v>
      </c>
      <c r="F443" s="467">
        <v>50</v>
      </c>
      <c r="G443" s="467" t="s">
        <v>28</v>
      </c>
      <c r="H443" s="467" t="s">
        <v>281</v>
      </c>
    </row>
    <row r="444" spans="1:8" hidden="1">
      <c r="A444" s="473" t="s">
        <v>2074</v>
      </c>
      <c r="B444" s="474"/>
      <c r="C444" s="511" t="s">
        <v>415</v>
      </c>
      <c r="D444" s="475" t="s">
        <v>281</v>
      </c>
      <c r="E444" s="466" t="str">
        <f>LEFT(A444,2)</f>
        <v>CO</v>
      </c>
      <c r="F444" s="467">
        <v>50</v>
      </c>
      <c r="G444" s="467" t="s">
        <v>28</v>
      </c>
      <c r="H444" s="467" t="s">
        <v>281</v>
      </c>
    </row>
    <row r="445" spans="1:8" hidden="1">
      <c r="A445" s="473" t="s">
        <v>2075</v>
      </c>
      <c r="B445" s="474"/>
      <c r="C445" s="511" t="s">
        <v>2076</v>
      </c>
      <c r="D445" s="475" t="s">
        <v>281</v>
      </c>
      <c r="E445" s="466" t="str">
        <f>LEFT(A445,2)</f>
        <v>CO</v>
      </c>
      <c r="F445" s="467">
        <v>50</v>
      </c>
      <c r="G445" s="467" t="s">
        <v>28</v>
      </c>
      <c r="H445" s="467" t="s">
        <v>281</v>
      </c>
    </row>
    <row r="446" spans="1:8" hidden="1">
      <c r="A446" s="473" t="s">
        <v>2077</v>
      </c>
      <c r="B446" s="474"/>
      <c r="C446" s="511" t="s">
        <v>2078</v>
      </c>
      <c r="D446" s="475" t="s">
        <v>281</v>
      </c>
      <c r="E446" s="466" t="str">
        <f>LEFT(A446,2)</f>
        <v>CO</v>
      </c>
      <c r="F446" s="467">
        <v>50</v>
      </c>
      <c r="G446" s="467" t="s">
        <v>28</v>
      </c>
      <c r="H446" s="467" t="s">
        <v>281</v>
      </c>
    </row>
    <row r="447" spans="1:8" hidden="1">
      <c r="A447" s="473" t="s">
        <v>2079</v>
      </c>
      <c r="B447" s="474"/>
      <c r="C447" s="511" t="s">
        <v>2080</v>
      </c>
      <c r="D447" s="475" t="s">
        <v>2081</v>
      </c>
      <c r="E447" s="466" t="str">
        <f t="shared" si="7"/>
        <v>CO</v>
      </c>
      <c r="F447" s="467">
        <v>50</v>
      </c>
      <c r="G447" s="467" t="s">
        <v>28</v>
      </c>
      <c r="H447" s="467">
        <v>0</v>
      </c>
    </row>
    <row r="448" spans="1:8" hidden="1">
      <c r="A448" s="473" t="s">
        <v>2082</v>
      </c>
      <c r="B448" s="474"/>
      <c r="C448" s="511" t="s">
        <v>2083</v>
      </c>
      <c r="D448" s="475" t="s">
        <v>281</v>
      </c>
      <c r="E448" s="466" t="str">
        <f t="shared" si="7"/>
        <v>CO</v>
      </c>
      <c r="F448" s="467">
        <v>50</v>
      </c>
      <c r="G448" s="467" t="s">
        <v>28</v>
      </c>
      <c r="H448" s="467">
        <v>2</v>
      </c>
    </row>
    <row r="449" spans="1:8" hidden="1">
      <c r="A449" s="469" t="s">
        <v>661</v>
      </c>
      <c r="B449" s="470"/>
      <c r="C449" s="469" t="s">
        <v>2084</v>
      </c>
      <c r="D449" s="471" t="s">
        <v>408</v>
      </c>
      <c r="E449" s="466" t="str">
        <f t="shared" si="7"/>
        <v>T7</v>
      </c>
      <c r="F449" s="467">
        <v>2</v>
      </c>
      <c r="G449" s="467" t="s">
        <v>28</v>
      </c>
      <c r="H449" s="467">
        <v>1</v>
      </c>
    </row>
    <row r="450" spans="1:8" hidden="1">
      <c r="A450" s="469" t="s">
        <v>665</v>
      </c>
      <c r="B450" s="470"/>
      <c r="C450" s="469" t="s">
        <v>2085</v>
      </c>
      <c r="D450" s="471" t="s">
        <v>408</v>
      </c>
      <c r="E450" s="466" t="str">
        <f t="shared" si="7"/>
        <v>T8</v>
      </c>
      <c r="F450" s="467">
        <v>2</v>
      </c>
      <c r="G450" s="467" t="s">
        <v>28</v>
      </c>
      <c r="H450" s="467">
        <v>1</v>
      </c>
    </row>
    <row r="451" spans="1:8" hidden="1">
      <c r="A451" s="469" t="s">
        <v>669</v>
      </c>
      <c r="B451" s="470"/>
      <c r="C451" s="469" t="s">
        <v>2086</v>
      </c>
      <c r="D451" s="471" t="s">
        <v>408</v>
      </c>
      <c r="E451" s="466" t="str">
        <f t="shared" si="7"/>
        <v>T8</v>
      </c>
      <c r="F451" s="467">
        <v>2</v>
      </c>
      <c r="G451" s="467" t="s">
        <v>28</v>
      </c>
      <c r="H451" s="467">
        <v>1</v>
      </c>
    </row>
    <row r="452" spans="1:8" hidden="1">
      <c r="A452" s="469" t="s">
        <v>2087</v>
      </c>
      <c r="B452" s="470"/>
      <c r="C452" s="469" t="s">
        <v>2088</v>
      </c>
      <c r="D452" s="471" t="s">
        <v>408</v>
      </c>
      <c r="E452" s="466" t="str">
        <f t="shared" si="7"/>
        <v>T8</v>
      </c>
      <c r="F452" s="467">
        <v>2</v>
      </c>
      <c r="G452" s="467" t="s">
        <v>28</v>
      </c>
      <c r="H452" s="467" t="e">
        <v>#N/A</v>
      </c>
    </row>
    <row r="453" spans="1:8" hidden="1">
      <c r="A453" s="469" t="s">
        <v>2089</v>
      </c>
      <c r="B453" s="470"/>
      <c r="C453" s="469" t="s">
        <v>2090</v>
      </c>
      <c r="D453" s="471" t="s">
        <v>408</v>
      </c>
      <c r="E453" s="466" t="str">
        <f t="shared" si="7"/>
        <v>T1</v>
      </c>
      <c r="F453" s="467">
        <v>2</v>
      </c>
      <c r="G453" s="467" t="s">
        <v>28</v>
      </c>
      <c r="H453" s="467" t="e">
        <v>#N/A</v>
      </c>
    </row>
    <row r="454" spans="1:8" hidden="1">
      <c r="A454" s="469" t="s">
        <v>677</v>
      </c>
      <c r="B454" s="470"/>
      <c r="C454" s="469" t="s">
        <v>2091</v>
      </c>
      <c r="D454" s="471" t="s">
        <v>408</v>
      </c>
      <c r="E454" s="466" t="str">
        <f t="shared" si="7"/>
        <v>T1</v>
      </c>
      <c r="F454" s="467">
        <v>2</v>
      </c>
      <c r="G454" s="467" t="s">
        <v>28</v>
      </c>
      <c r="H454" s="467">
        <v>1</v>
      </c>
    </row>
    <row r="455" spans="1:8">
      <c r="A455" s="469" t="s">
        <v>684</v>
      </c>
      <c r="B455" s="470"/>
      <c r="C455" s="469" t="s">
        <v>2092</v>
      </c>
      <c r="D455" s="471" t="s">
        <v>408</v>
      </c>
      <c r="E455" s="466" t="str">
        <f t="shared" si="7"/>
        <v>T1</v>
      </c>
      <c r="F455" s="467">
        <v>2</v>
      </c>
      <c r="G455" s="467" t="s">
        <v>28</v>
      </c>
      <c r="H455" s="467">
        <v>1</v>
      </c>
    </row>
    <row r="456" spans="1:8">
      <c r="A456" s="469" t="s">
        <v>691</v>
      </c>
      <c r="B456" s="470"/>
      <c r="C456" s="469" t="s">
        <v>2093</v>
      </c>
      <c r="D456" s="471" t="s">
        <v>408</v>
      </c>
      <c r="E456" s="466" t="str">
        <f t="shared" si="7"/>
        <v>T1</v>
      </c>
      <c r="F456" s="467">
        <v>2</v>
      </c>
      <c r="G456" s="467" t="s">
        <v>28</v>
      </c>
      <c r="H456" s="467">
        <v>1</v>
      </c>
    </row>
    <row r="457" spans="1:8" hidden="1">
      <c r="A457" s="469" t="s">
        <v>694</v>
      </c>
      <c r="B457" s="470"/>
      <c r="C457" s="469" t="s">
        <v>2094</v>
      </c>
      <c r="D457" s="471" t="s">
        <v>408</v>
      </c>
      <c r="E457" s="466" t="str">
        <f t="shared" si="7"/>
        <v>T1</v>
      </c>
      <c r="F457" s="467">
        <v>2</v>
      </c>
      <c r="G457" s="467" t="s">
        <v>28</v>
      </c>
      <c r="H457" s="467">
        <v>1</v>
      </c>
    </row>
    <row r="458" spans="1:8" hidden="1">
      <c r="A458" s="469" t="s">
        <v>698</v>
      </c>
      <c r="B458" s="470"/>
      <c r="C458" s="469" t="s">
        <v>2095</v>
      </c>
      <c r="D458" s="471" t="s">
        <v>408</v>
      </c>
      <c r="E458" s="466" t="str">
        <f t="shared" si="7"/>
        <v>T2</v>
      </c>
      <c r="F458" s="467">
        <v>2</v>
      </c>
      <c r="G458" s="467" t="s">
        <v>28</v>
      </c>
      <c r="H458" s="467">
        <v>1</v>
      </c>
    </row>
    <row r="459" spans="1:8" hidden="1">
      <c r="A459" s="489" t="s">
        <v>2096</v>
      </c>
      <c r="B459" s="501"/>
      <c r="C459" s="489" t="s">
        <v>2097</v>
      </c>
      <c r="D459" s="491" t="s">
        <v>614</v>
      </c>
      <c r="E459" s="466" t="str">
        <f t="shared" si="7"/>
        <v>SO</v>
      </c>
      <c r="F459" s="467">
        <v>50</v>
      </c>
      <c r="G459" s="467" t="s">
        <v>28</v>
      </c>
      <c r="H459" s="467">
        <v>1</v>
      </c>
    </row>
    <row r="460" spans="1:8" hidden="1">
      <c r="A460" s="489" t="s">
        <v>2098</v>
      </c>
      <c r="B460" s="501"/>
      <c r="C460" s="489" t="s">
        <v>2099</v>
      </c>
      <c r="D460" s="491" t="s">
        <v>614</v>
      </c>
      <c r="E460" s="466" t="str">
        <f t="shared" si="7"/>
        <v>SO</v>
      </c>
      <c r="F460" s="467">
        <v>50</v>
      </c>
      <c r="G460" s="467" t="s">
        <v>28</v>
      </c>
      <c r="H460" s="467">
        <v>1.5</v>
      </c>
    </row>
    <row r="461" spans="1:8" hidden="1">
      <c r="A461" s="489" t="s">
        <v>1381</v>
      </c>
      <c r="B461" s="501"/>
      <c r="C461" s="489" t="s">
        <v>2100</v>
      </c>
      <c r="D461" s="491" t="s">
        <v>1808</v>
      </c>
      <c r="E461" s="466" t="str">
        <f t="shared" si="7"/>
        <v>NU</v>
      </c>
      <c r="F461" s="467">
        <v>50</v>
      </c>
      <c r="G461" s="467" t="s">
        <v>28</v>
      </c>
      <c r="H461" s="467">
        <v>0.5</v>
      </c>
    </row>
    <row r="462" spans="1:8" hidden="1">
      <c r="A462" s="489" t="s">
        <v>591</v>
      </c>
      <c r="B462" s="501"/>
      <c r="C462" s="489" t="s">
        <v>2101</v>
      </c>
      <c r="D462" s="491" t="s">
        <v>1808</v>
      </c>
      <c r="E462" s="466" t="str">
        <f t="shared" si="7"/>
        <v>GO</v>
      </c>
      <c r="F462" s="467">
        <v>50</v>
      </c>
      <c r="G462" s="467" t="s">
        <v>28</v>
      </c>
      <c r="H462" s="467">
        <v>0</v>
      </c>
    </row>
    <row r="463" spans="1:8" hidden="1">
      <c r="A463" s="489" t="s">
        <v>2102</v>
      </c>
      <c r="B463" s="501"/>
      <c r="C463" s="489" t="s">
        <v>2103</v>
      </c>
      <c r="D463" s="491" t="s">
        <v>614</v>
      </c>
      <c r="E463" s="466" t="str">
        <f t="shared" ref="E463:E526" si="8">LEFT(A463,2)</f>
        <v>DI</v>
      </c>
      <c r="F463" s="467">
        <v>997</v>
      </c>
      <c r="G463" s="467" t="s">
        <v>28</v>
      </c>
      <c r="H463" s="467" t="e">
        <v>#N/A</v>
      </c>
    </row>
    <row r="464" spans="1:8" hidden="1">
      <c r="A464" s="489" t="s">
        <v>1379</v>
      </c>
      <c r="B464" s="490"/>
      <c r="C464" s="489" t="s">
        <v>2104</v>
      </c>
      <c r="D464" s="491" t="s">
        <v>1808</v>
      </c>
      <c r="E464" s="466" t="str">
        <f t="shared" si="8"/>
        <v>D1</v>
      </c>
      <c r="F464" s="467">
        <v>999</v>
      </c>
      <c r="G464" s="467" t="s">
        <v>28</v>
      </c>
      <c r="H464" s="467">
        <v>0.34399999999999997</v>
      </c>
    </row>
    <row r="465" spans="1:8" hidden="1">
      <c r="A465" s="489" t="s">
        <v>2105</v>
      </c>
      <c r="B465" s="490"/>
      <c r="C465" s="489" t="s">
        <v>2106</v>
      </c>
      <c r="D465" s="491" t="s">
        <v>1808</v>
      </c>
      <c r="E465" s="466" t="str">
        <f t="shared" si="8"/>
        <v>D0</v>
      </c>
      <c r="F465" s="467">
        <v>999</v>
      </c>
      <c r="G465" s="467" t="s">
        <v>28</v>
      </c>
      <c r="H465" s="467" t="e">
        <v>#N/A</v>
      </c>
    </row>
    <row r="466" spans="1:8" hidden="1">
      <c r="A466" s="489" t="s">
        <v>2107</v>
      </c>
      <c r="B466" s="490"/>
      <c r="C466" s="489" t="s">
        <v>2108</v>
      </c>
      <c r="D466" s="491" t="s">
        <v>1808</v>
      </c>
      <c r="E466" s="466" t="str">
        <f t="shared" si="8"/>
        <v>D2</v>
      </c>
      <c r="F466" s="467">
        <v>999</v>
      </c>
      <c r="G466" s="467" t="s">
        <v>28</v>
      </c>
      <c r="H466" s="467">
        <v>0.155</v>
      </c>
    </row>
    <row r="467" spans="1:8" hidden="1">
      <c r="A467" s="489" t="s">
        <v>1380</v>
      </c>
      <c r="B467" s="501"/>
      <c r="C467" s="489" t="s">
        <v>2109</v>
      </c>
      <c r="D467" s="491" t="s">
        <v>1808</v>
      </c>
      <c r="E467" s="466" t="str">
        <f t="shared" si="8"/>
        <v>D4</v>
      </c>
      <c r="F467" s="467">
        <v>999</v>
      </c>
      <c r="G467" s="467" t="s">
        <v>28</v>
      </c>
      <c r="H467" s="467">
        <v>0</v>
      </c>
    </row>
    <row r="468" spans="1:8" hidden="1">
      <c r="A468" s="513" t="s">
        <v>466</v>
      </c>
      <c r="B468" s="501"/>
      <c r="C468" s="489" t="s">
        <v>2110</v>
      </c>
      <c r="D468" s="491" t="s">
        <v>1808</v>
      </c>
      <c r="E468" s="466" t="str">
        <f t="shared" si="8"/>
        <v>ca</v>
      </c>
      <c r="F468" s="467">
        <v>997</v>
      </c>
      <c r="G468" s="467" t="s">
        <v>28</v>
      </c>
      <c r="H468" s="467">
        <v>0.186</v>
      </c>
    </row>
    <row r="469" spans="1:8" hidden="1">
      <c r="A469" s="489" t="s">
        <v>2111</v>
      </c>
      <c r="B469" s="501"/>
      <c r="C469" s="489" t="s">
        <v>2112</v>
      </c>
      <c r="D469" s="491" t="s">
        <v>2113</v>
      </c>
      <c r="E469" s="466" t="str">
        <f t="shared" si="8"/>
        <v>ga</v>
      </c>
      <c r="F469" s="467">
        <v>50</v>
      </c>
      <c r="G469" s="467" t="s">
        <v>28</v>
      </c>
      <c r="H469" s="467" t="e">
        <v>#N/A</v>
      </c>
    </row>
    <row r="470" spans="1:8" hidden="1">
      <c r="A470" s="489" t="s">
        <v>2114</v>
      </c>
      <c r="B470" s="501"/>
      <c r="C470" s="489" t="s">
        <v>2115</v>
      </c>
      <c r="D470" s="491" t="s">
        <v>2113</v>
      </c>
      <c r="E470" s="466" t="str">
        <f t="shared" si="8"/>
        <v>ga</v>
      </c>
      <c r="F470" s="467">
        <v>50</v>
      </c>
      <c r="G470" s="467" t="s">
        <v>28</v>
      </c>
      <c r="H470" s="467" t="s">
        <v>2113</v>
      </c>
    </row>
    <row r="471" spans="1:8" hidden="1">
      <c r="A471" s="489" t="s">
        <v>2116</v>
      </c>
      <c r="B471" s="501"/>
      <c r="C471" s="489" t="s">
        <v>2117</v>
      </c>
      <c r="D471" s="491" t="s">
        <v>2113</v>
      </c>
      <c r="E471" s="466" t="str">
        <f t="shared" si="8"/>
        <v>ga</v>
      </c>
      <c r="F471" s="467">
        <v>50</v>
      </c>
      <c r="G471" s="467" t="s">
        <v>28</v>
      </c>
      <c r="H471" s="467" t="e">
        <v>#N/A</v>
      </c>
    </row>
    <row r="472" spans="1:8" hidden="1">
      <c r="A472" s="489" t="s">
        <v>465</v>
      </c>
      <c r="B472" s="501"/>
      <c r="C472" s="489" t="s">
        <v>2118</v>
      </c>
      <c r="D472" s="491" t="s">
        <v>614</v>
      </c>
      <c r="E472" s="466" t="str">
        <f t="shared" si="8"/>
        <v>XM</v>
      </c>
      <c r="F472" s="467">
        <v>996</v>
      </c>
      <c r="G472" s="467" t="s">
        <v>28</v>
      </c>
      <c r="H472" s="467">
        <v>116</v>
      </c>
    </row>
    <row r="473" spans="1:8" hidden="1">
      <c r="A473" s="463" t="s">
        <v>1360</v>
      </c>
      <c r="B473" s="468"/>
      <c r="C473" s="510" t="s">
        <v>2119</v>
      </c>
      <c r="D473" s="465" t="s">
        <v>614</v>
      </c>
      <c r="E473" s="466" t="str">
        <f t="shared" si="8"/>
        <v>qh</v>
      </c>
      <c r="F473" s="467">
        <v>50</v>
      </c>
      <c r="G473" s="467" t="s">
        <v>28</v>
      </c>
      <c r="H473" s="467">
        <v>2.5</v>
      </c>
    </row>
    <row r="474" spans="1:8" hidden="1">
      <c r="A474" s="463" t="s">
        <v>1365</v>
      </c>
      <c r="B474" s="468"/>
      <c r="C474" s="510" t="s">
        <v>2120</v>
      </c>
      <c r="D474" s="465" t="s">
        <v>281</v>
      </c>
      <c r="E474" s="466" t="str">
        <f t="shared" si="8"/>
        <v>co</v>
      </c>
      <c r="F474" s="467">
        <v>50</v>
      </c>
      <c r="G474" s="467" t="s">
        <v>28</v>
      </c>
      <c r="H474" s="467">
        <v>6</v>
      </c>
    </row>
    <row r="475" spans="1:8" hidden="1">
      <c r="A475" s="463" t="s">
        <v>2121</v>
      </c>
      <c r="B475" s="464"/>
      <c r="C475" s="514" t="s">
        <v>2122</v>
      </c>
      <c r="D475" s="465" t="s">
        <v>1814</v>
      </c>
      <c r="E475" s="466" t="str">
        <f t="shared" si="8"/>
        <v>Ni</v>
      </c>
      <c r="F475" s="467">
        <v>50</v>
      </c>
      <c r="G475" s="467" t="s">
        <v>28</v>
      </c>
      <c r="H475" s="467" t="s">
        <v>1814</v>
      </c>
    </row>
    <row r="476" spans="1:8" hidden="1">
      <c r="A476" s="463" t="s">
        <v>2123</v>
      </c>
      <c r="B476" s="468"/>
      <c r="C476" s="510" t="s">
        <v>2124</v>
      </c>
      <c r="D476" s="465" t="s">
        <v>2081</v>
      </c>
      <c r="E476" s="466" t="str">
        <f t="shared" si="8"/>
        <v>NL</v>
      </c>
      <c r="F476" s="467">
        <v>50</v>
      </c>
      <c r="G476" s="467" t="s">
        <v>28</v>
      </c>
      <c r="H476" s="467" t="e">
        <v>#N/A</v>
      </c>
    </row>
    <row r="477" spans="1:8" hidden="1">
      <c r="A477" s="463" t="s">
        <v>2125</v>
      </c>
      <c r="B477" s="468"/>
      <c r="C477" s="463" t="s">
        <v>2126</v>
      </c>
      <c r="D477" s="465" t="s">
        <v>614</v>
      </c>
      <c r="E477" s="466" t="str">
        <f t="shared" si="8"/>
        <v>th</v>
      </c>
      <c r="F477" s="467">
        <v>50</v>
      </c>
      <c r="G477" s="467" t="s">
        <v>28</v>
      </c>
      <c r="H477" s="467">
        <v>0.1</v>
      </c>
    </row>
    <row r="478" spans="1:8" hidden="1">
      <c r="A478" s="479" t="s">
        <v>2127</v>
      </c>
      <c r="B478" s="480"/>
      <c r="C478" s="479" t="s">
        <v>2128</v>
      </c>
      <c r="D478" s="481" t="s">
        <v>281</v>
      </c>
      <c r="E478" s="466" t="str">
        <f t="shared" si="8"/>
        <v>da</v>
      </c>
      <c r="F478" s="467">
        <v>50</v>
      </c>
      <c r="G478" s="467" t="s">
        <v>28</v>
      </c>
      <c r="H478" s="467" t="s">
        <v>281</v>
      </c>
    </row>
    <row r="479" spans="1:8" hidden="1">
      <c r="A479" s="479" t="s">
        <v>2129</v>
      </c>
      <c r="B479" s="480"/>
      <c r="C479" s="479" t="s">
        <v>2130</v>
      </c>
      <c r="D479" s="481" t="s">
        <v>281</v>
      </c>
      <c r="E479" s="466" t="str">
        <f t="shared" si="8"/>
        <v>da</v>
      </c>
      <c r="F479" s="467">
        <v>50</v>
      </c>
      <c r="G479" s="467" t="s">
        <v>28</v>
      </c>
      <c r="H479" s="467" t="e">
        <v>#N/A</v>
      </c>
    </row>
    <row r="480" spans="1:8" hidden="1">
      <c r="A480" s="479" t="s">
        <v>2131</v>
      </c>
      <c r="B480" s="480"/>
      <c r="C480" s="479" t="s">
        <v>2132</v>
      </c>
      <c r="D480" s="481" t="s">
        <v>281</v>
      </c>
      <c r="E480" s="466" t="str">
        <f t="shared" si="8"/>
        <v>da</v>
      </c>
      <c r="F480" s="467">
        <v>50</v>
      </c>
      <c r="G480" s="467" t="s">
        <v>28</v>
      </c>
      <c r="H480" s="467" t="e">
        <v>#N/A</v>
      </c>
    </row>
    <row r="481" spans="1:8" hidden="1">
      <c r="A481" s="479" t="s">
        <v>2133</v>
      </c>
      <c r="B481" s="480"/>
      <c r="C481" s="479" t="s">
        <v>2134</v>
      </c>
      <c r="D481" s="481" t="s">
        <v>281</v>
      </c>
      <c r="E481" s="466" t="str">
        <f t="shared" si="8"/>
        <v>da</v>
      </c>
      <c r="F481" s="467">
        <v>50</v>
      </c>
      <c r="G481" s="467" t="s">
        <v>28</v>
      </c>
      <c r="H481" s="467" t="e">
        <v>#N/A</v>
      </c>
    </row>
    <row r="482" spans="1:8" hidden="1">
      <c r="A482" s="479" t="s">
        <v>2135</v>
      </c>
      <c r="B482" s="480"/>
      <c r="C482" s="479" t="s">
        <v>2136</v>
      </c>
      <c r="D482" s="481" t="s">
        <v>281</v>
      </c>
      <c r="E482" s="466" t="str">
        <f t="shared" si="8"/>
        <v>da</v>
      </c>
      <c r="F482" s="467">
        <v>50</v>
      </c>
      <c r="G482" s="467" t="s">
        <v>28</v>
      </c>
      <c r="H482" s="467" t="e">
        <v>#N/A</v>
      </c>
    </row>
    <row r="483" spans="1:8" hidden="1">
      <c r="A483" s="479" t="s">
        <v>2137</v>
      </c>
      <c r="B483" s="480"/>
      <c r="C483" s="479" t="s">
        <v>2138</v>
      </c>
      <c r="D483" s="481" t="s">
        <v>281</v>
      </c>
      <c r="E483" s="466" t="str">
        <f t="shared" si="8"/>
        <v>da</v>
      </c>
      <c r="F483" s="467">
        <v>50</v>
      </c>
      <c r="G483" s="467" t="s">
        <v>28</v>
      </c>
      <c r="H483" s="467" t="e">
        <v>#N/A</v>
      </c>
    </row>
    <row r="484" spans="1:8" hidden="1">
      <c r="A484" s="479" t="s">
        <v>2139</v>
      </c>
      <c r="B484" s="480"/>
      <c r="C484" s="479" t="s">
        <v>2140</v>
      </c>
      <c r="D484" s="481" t="s">
        <v>281</v>
      </c>
      <c r="E484" s="466" t="str">
        <f t="shared" si="8"/>
        <v>da</v>
      </c>
      <c r="F484" s="467">
        <v>50</v>
      </c>
      <c r="G484" s="467" t="s">
        <v>28</v>
      </c>
      <c r="H484" s="467" t="e">
        <v>#N/A</v>
      </c>
    </row>
    <row r="485" spans="1:8" hidden="1">
      <c r="A485" s="469" t="s">
        <v>2141</v>
      </c>
      <c r="B485" s="470"/>
      <c r="C485" s="469" t="s">
        <v>2142</v>
      </c>
      <c r="D485" s="471" t="s">
        <v>281</v>
      </c>
      <c r="E485" s="466" t="str">
        <f t="shared" si="8"/>
        <v>da</v>
      </c>
      <c r="F485" s="467">
        <v>50</v>
      </c>
      <c r="G485" s="467" t="s">
        <v>28</v>
      </c>
      <c r="H485" s="467" t="s">
        <v>281</v>
      </c>
    </row>
    <row r="486" spans="1:8" hidden="1">
      <c r="A486" s="469" t="s">
        <v>2143</v>
      </c>
      <c r="B486" s="470"/>
      <c r="C486" s="469" t="s">
        <v>2144</v>
      </c>
      <c r="D486" s="471" t="s">
        <v>281</v>
      </c>
      <c r="E486" s="466" t="str">
        <f t="shared" si="8"/>
        <v>da</v>
      </c>
      <c r="F486" s="467">
        <v>50</v>
      </c>
      <c r="G486" s="467" t="s">
        <v>28</v>
      </c>
      <c r="H486" s="467" t="e">
        <v>#N/A</v>
      </c>
    </row>
    <row r="487" spans="1:8" hidden="1">
      <c r="A487" s="469" t="s">
        <v>2145</v>
      </c>
      <c r="B487" s="470"/>
      <c r="C487" s="469" t="s">
        <v>2146</v>
      </c>
      <c r="D487" s="471" t="s">
        <v>281</v>
      </c>
      <c r="E487" s="466" t="str">
        <f t="shared" si="8"/>
        <v>da</v>
      </c>
      <c r="F487" s="467">
        <v>50</v>
      </c>
      <c r="G487" s="467" t="s">
        <v>28</v>
      </c>
      <c r="H487" s="467" t="e">
        <v>#N/A</v>
      </c>
    </row>
    <row r="488" spans="1:8" hidden="1">
      <c r="A488" s="469" t="s">
        <v>2147</v>
      </c>
      <c r="B488" s="470"/>
      <c r="C488" s="469" t="s">
        <v>2148</v>
      </c>
      <c r="D488" s="471" t="s">
        <v>281</v>
      </c>
      <c r="E488" s="466" t="str">
        <f t="shared" si="8"/>
        <v>da</v>
      </c>
      <c r="F488" s="467">
        <v>50</v>
      </c>
      <c r="G488" s="467" t="s">
        <v>28</v>
      </c>
      <c r="H488" s="467" t="e">
        <v>#N/A</v>
      </c>
    </row>
    <row r="489" spans="1:8" hidden="1">
      <c r="A489" s="469" t="s">
        <v>2149</v>
      </c>
      <c r="B489" s="470"/>
      <c r="C489" s="469" t="s">
        <v>2150</v>
      </c>
      <c r="D489" s="471" t="s">
        <v>281</v>
      </c>
      <c r="E489" s="466" t="str">
        <f t="shared" si="8"/>
        <v>da</v>
      </c>
      <c r="F489" s="467">
        <v>50</v>
      </c>
      <c r="G489" s="467" t="s">
        <v>28</v>
      </c>
      <c r="H489" s="467" t="e">
        <v>#N/A</v>
      </c>
    </row>
    <row r="490" spans="1:8" hidden="1">
      <c r="A490" s="469" t="s">
        <v>2151</v>
      </c>
      <c r="B490" s="470"/>
      <c r="C490" s="469" t="s">
        <v>2152</v>
      </c>
      <c r="D490" s="471" t="s">
        <v>281</v>
      </c>
      <c r="E490" s="466" t="str">
        <f t="shared" si="8"/>
        <v>da</v>
      </c>
      <c r="F490" s="467">
        <v>50</v>
      </c>
      <c r="G490" s="467" t="s">
        <v>28</v>
      </c>
      <c r="H490" s="467" t="e">
        <v>#N/A</v>
      </c>
    </row>
    <row r="491" spans="1:8" hidden="1">
      <c r="A491" s="469" t="s">
        <v>2153</v>
      </c>
      <c r="B491" s="470"/>
      <c r="C491" s="469" t="s">
        <v>2154</v>
      </c>
      <c r="D491" s="471" t="s">
        <v>281</v>
      </c>
      <c r="E491" s="466" t="str">
        <f t="shared" si="8"/>
        <v>da</v>
      </c>
      <c r="F491" s="467">
        <v>50</v>
      </c>
      <c r="G491" s="467" t="s">
        <v>28</v>
      </c>
      <c r="H491" s="467" t="e">
        <v>#N/A</v>
      </c>
    </row>
    <row r="492" spans="1:8" hidden="1">
      <c r="A492" s="473" t="s">
        <v>2155</v>
      </c>
      <c r="B492" s="477"/>
      <c r="C492" s="473" t="s">
        <v>2156</v>
      </c>
      <c r="D492" s="475" t="s">
        <v>281</v>
      </c>
      <c r="E492" s="466" t="str">
        <f t="shared" si="8"/>
        <v>DC</v>
      </c>
      <c r="F492" s="467">
        <v>50</v>
      </c>
      <c r="G492" s="467" t="s">
        <v>28</v>
      </c>
      <c r="H492" s="467" t="e">
        <v>#N/A</v>
      </c>
    </row>
    <row r="493" spans="1:8" hidden="1">
      <c r="A493" s="473" t="s">
        <v>2157</v>
      </c>
      <c r="B493" s="477"/>
      <c r="C493" s="473" t="s">
        <v>2158</v>
      </c>
      <c r="D493" s="475" t="s">
        <v>281</v>
      </c>
      <c r="E493" s="466" t="str">
        <f t="shared" si="8"/>
        <v>DC</v>
      </c>
      <c r="F493" s="467">
        <v>50</v>
      </c>
      <c r="G493" s="467" t="s">
        <v>28</v>
      </c>
      <c r="H493" s="467" t="e">
        <v>#N/A</v>
      </c>
    </row>
    <row r="494" spans="1:8" hidden="1">
      <c r="A494" s="473" t="s">
        <v>2159</v>
      </c>
      <c r="B494" s="477"/>
      <c r="C494" s="473" t="s">
        <v>2160</v>
      </c>
      <c r="D494" s="475" t="s">
        <v>281</v>
      </c>
      <c r="E494" s="466" t="str">
        <f t="shared" si="8"/>
        <v>DC</v>
      </c>
      <c r="F494" s="467">
        <v>50</v>
      </c>
      <c r="G494" s="467" t="s">
        <v>28</v>
      </c>
      <c r="H494" s="467" t="e">
        <v>#N/A</v>
      </c>
    </row>
    <row r="495" spans="1:8" hidden="1">
      <c r="A495" s="473" t="s">
        <v>2161</v>
      </c>
      <c r="B495" s="477"/>
      <c r="C495" s="473" t="s">
        <v>2162</v>
      </c>
      <c r="D495" s="475" t="s">
        <v>281</v>
      </c>
      <c r="E495" s="466" t="str">
        <f t="shared" si="8"/>
        <v>DC</v>
      </c>
      <c r="F495" s="467">
        <v>50</v>
      </c>
      <c r="G495" s="467" t="s">
        <v>28</v>
      </c>
      <c r="H495" s="467" t="e">
        <v>#N/A</v>
      </c>
    </row>
    <row r="496" spans="1:8" hidden="1">
      <c r="A496" s="473" t="s">
        <v>2163</v>
      </c>
      <c r="B496" s="477"/>
      <c r="C496" s="473" t="s">
        <v>2164</v>
      </c>
      <c r="D496" s="475" t="s">
        <v>281</v>
      </c>
      <c r="E496" s="466" t="str">
        <f t="shared" si="8"/>
        <v>DC</v>
      </c>
      <c r="F496" s="467">
        <v>50</v>
      </c>
      <c r="G496" s="467" t="s">
        <v>28</v>
      </c>
      <c r="H496" s="467" t="e">
        <v>#N/A</v>
      </c>
    </row>
    <row r="497" spans="1:8" hidden="1">
      <c r="A497" s="473" t="s">
        <v>1265</v>
      </c>
      <c r="B497" s="477"/>
      <c r="C497" s="473" t="s">
        <v>2165</v>
      </c>
      <c r="D497" s="475" t="s">
        <v>281</v>
      </c>
      <c r="E497" s="466" t="str">
        <f t="shared" si="8"/>
        <v>DC</v>
      </c>
      <c r="F497" s="467">
        <v>50</v>
      </c>
      <c r="G497" s="467" t="s">
        <v>28</v>
      </c>
      <c r="H497" s="467">
        <v>0</v>
      </c>
    </row>
    <row r="498" spans="1:8" hidden="1">
      <c r="A498" s="489" t="s">
        <v>2166</v>
      </c>
      <c r="B498" s="490"/>
      <c r="C498" s="489" t="s">
        <v>2167</v>
      </c>
      <c r="D498" s="491" t="s">
        <v>411</v>
      </c>
      <c r="E498" s="466" t="str">
        <f t="shared" si="8"/>
        <v>st</v>
      </c>
      <c r="F498" s="467">
        <v>50</v>
      </c>
      <c r="G498" s="467" t="s">
        <v>28</v>
      </c>
      <c r="H498" s="467">
        <v>0</v>
      </c>
    </row>
    <row r="499" spans="1:8" hidden="1">
      <c r="A499" s="489" t="s">
        <v>2168</v>
      </c>
      <c r="B499" s="490"/>
      <c r="C499" s="489" t="s">
        <v>2169</v>
      </c>
      <c r="D499" s="491" t="s">
        <v>411</v>
      </c>
      <c r="E499" s="466" t="str">
        <f t="shared" si="8"/>
        <v>st</v>
      </c>
      <c r="F499" s="467">
        <v>50</v>
      </c>
      <c r="G499" s="467" t="s">
        <v>28</v>
      </c>
      <c r="H499" s="467">
        <v>0</v>
      </c>
    </row>
    <row r="500" spans="1:8" hidden="1">
      <c r="A500" s="489" t="s">
        <v>2170</v>
      </c>
      <c r="B500" s="490" t="s">
        <v>2171</v>
      </c>
      <c r="C500" s="489" t="s">
        <v>2172</v>
      </c>
      <c r="D500" s="491" t="s">
        <v>411</v>
      </c>
      <c r="E500" s="466" t="str">
        <f t="shared" si="8"/>
        <v>st</v>
      </c>
      <c r="F500" s="467">
        <v>50</v>
      </c>
      <c r="G500" s="467" t="s">
        <v>28</v>
      </c>
      <c r="H500" s="467" t="e">
        <v>#N/A</v>
      </c>
    </row>
    <row r="501" spans="1:8" hidden="1">
      <c r="A501" s="489" t="s">
        <v>2173</v>
      </c>
      <c r="B501" s="490" t="s">
        <v>2171</v>
      </c>
      <c r="C501" s="489" t="s">
        <v>2174</v>
      </c>
      <c r="D501" s="491" t="s">
        <v>411</v>
      </c>
      <c r="E501" s="466" t="str">
        <f t="shared" si="8"/>
        <v>st</v>
      </c>
      <c r="F501" s="467">
        <v>50</v>
      </c>
      <c r="G501" s="467" t="s">
        <v>28</v>
      </c>
      <c r="H501" s="467" t="e">
        <v>#N/A</v>
      </c>
    </row>
    <row r="502" spans="1:8" hidden="1">
      <c r="A502" s="489" t="s">
        <v>2175</v>
      </c>
      <c r="B502" s="490" t="s">
        <v>2171</v>
      </c>
      <c r="C502" s="489" t="s">
        <v>2176</v>
      </c>
      <c r="D502" s="491" t="s">
        <v>411</v>
      </c>
      <c r="E502" s="466" t="str">
        <f t="shared" si="8"/>
        <v>st</v>
      </c>
      <c r="F502" s="467">
        <v>50</v>
      </c>
      <c r="G502" s="467" t="s">
        <v>28</v>
      </c>
      <c r="H502" s="467" t="s">
        <v>411</v>
      </c>
    </row>
    <row r="503" spans="1:8" hidden="1">
      <c r="A503" s="489" t="s">
        <v>2177</v>
      </c>
      <c r="B503" s="490" t="s">
        <v>2171</v>
      </c>
      <c r="C503" s="489" t="s">
        <v>2178</v>
      </c>
      <c r="D503" s="491" t="s">
        <v>411</v>
      </c>
      <c r="E503" s="466" t="str">
        <f t="shared" si="8"/>
        <v>st</v>
      </c>
      <c r="F503" s="467">
        <v>50</v>
      </c>
      <c r="G503" s="467" t="s">
        <v>28</v>
      </c>
      <c r="H503" s="467" t="e">
        <v>#N/A</v>
      </c>
    </row>
    <row r="504" spans="1:8" hidden="1">
      <c r="A504" s="489" t="s">
        <v>2179</v>
      </c>
      <c r="B504" s="490" t="s">
        <v>2171</v>
      </c>
      <c r="C504" s="489" t="s">
        <v>2180</v>
      </c>
      <c r="D504" s="491" t="s">
        <v>411</v>
      </c>
      <c r="E504" s="466" t="str">
        <f t="shared" si="8"/>
        <v>st</v>
      </c>
      <c r="F504" s="467">
        <v>50</v>
      </c>
      <c r="G504" s="467" t="s">
        <v>28</v>
      </c>
      <c r="H504" s="467" t="e">
        <v>#N/A</v>
      </c>
    </row>
    <row r="505" spans="1:8" hidden="1">
      <c r="A505" s="463" t="s">
        <v>2181</v>
      </c>
      <c r="B505" s="464"/>
      <c r="C505" s="463" t="s">
        <v>2182</v>
      </c>
      <c r="D505" s="465" t="s">
        <v>281</v>
      </c>
      <c r="E505" s="466" t="str">
        <f t="shared" si="8"/>
        <v>co</v>
      </c>
      <c r="F505" s="467">
        <v>50</v>
      </c>
      <c r="G505" s="467" t="s">
        <v>28</v>
      </c>
      <c r="H505" s="467" t="e">
        <v>#N/A</v>
      </c>
    </row>
    <row r="506" spans="1:8" hidden="1">
      <c r="A506" s="463" t="s">
        <v>2183</v>
      </c>
      <c r="B506" s="468"/>
      <c r="C506" s="463" t="s">
        <v>2184</v>
      </c>
      <c r="D506" s="465" t="s">
        <v>281</v>
      </c>
      <c r="E506" s="466" t="str">
        <f t="shared" si="8"/>
        <v>co</v>
      </c>
      <c r="F506" s="467">
        <v>50</v>
      </c>
      <c r="G506" s="467" t="s">
        <v>28</v>
      </c>
      <c r="H506" s="467" t="e">
        <v>#N/A</v>
      </c>
    </row>
    <row r="507" spans="1:8">
      <c r="A507" s="463" t="s">
        <v>824</v>
      </c>
      <c r="B507" s="468"/>
      <c r="C507" s="463" t="s">
        <v>2185</v>
      </c>
      <c r="D507" s="465" t="s">
        <v>281</v>
      </c>
      <c r="E507" s="466" t="str">
        <f t="shared" si="8"/>
        <v>YC</v>
      </c>
      <c r="F507" s="467">
        <v>50</v>
      </c>
      <c r="G507" s="467" t="s">
        <v>28</v>
      </c>
      <c r="H507" s="467">
        <v>2</v>
      </c>
    </row>
    <row r="508" spans="1:8" hidden="1">
      <c r="A508" s="466"/>
      <c r="C508" s="466"/>
      <c r="D508" s="516"/>
      <c r="E508" s="466" t="str">
        <f t="shared" si="8"/>
        <v/>
      </c>
      <c r="F508" s="467">
        <v>50</v>
      </c>
      <c r="H508" s="467">
        <v>0</v>
      </c>
    </row>
    <row r="509" spans="1:8" hidden="1">
      <c r="A509" s="466"/>
      <c r="C509" s="466"/>
      <c r="D509" s="516"/>
      <c r="E509" s="466" t="str">
        <f t="shared" si="8"/>
        <v/>
      </c>
      <c r="F509" s="467">
        <v>50</v>
      </c>
      <c r="H509" s="467">
        <v>0</v>
      </c>
    </row>
    <row r="510" spans="1:8" hidden="1">
      <c r="A510" s="466" t="s">
        <v>2186</v>
      </c>
      <c r="C510" s="466"/>
      <c r="D510" s="517"/>
      <c r="E510" s="466" t="str">
        <f t="shared" si="8"/>
        <v>Bả</v>
      </c>
      <c r="F510" s="467">
        <v>50</v>
      </c>
      <c r="H510" s="467" t="e">
        <v>#N/A</v>
      </c>
    </row>
    <row r="511" spans="1:8" hidden="1">
      <c r="A511" s="466"/>
      <c r="C511" s="466"/>
      <c r="D511" s="516"/>
      <c r="E511" s="466" t="str">
        <f t="shared" si="8"/>
        <v/>
      </c>
      <c r="F511" s="467">
        <v>50</v>
      </c>
      <c r="H511" s="467">
        <v>0</v>
      </c>
    </row>
    <row r="512" spans="1:8" hidden="1">
      <c r="A512" s="518" t="s">
        <v>1388</v>
      </c>
      <c r="B512" s="519" t="s">
        <v>1389</v>
      </c>
      <c r="C512" s="518" t="s">
        <v>2187</v>
      </c>
      <c r="D512" s="520" t="s">
        <v>442</v>
      </c>
      <c r="E512" s="466" t="str">
        <f t="shared" si="8"/>
        <v>Mã</v>
      </c>
      <c r="F512" s="467">
        <v>50</v>
      </c>
      <c r="H512" s="467" t="s">
        <v>434</v>
      </c>
    </row>
    <row r="513" spans="1:8" hidden="1">
      <c r="A513" s="518">
        <v>1</v>
      </c>
      <c r="B513" s="519">
        <v>2</v>
      </c>
      <c r="C513" s="518">
        <v>3</v>
      </c>
      <c r="D513" s="520">
        <v>4</v>
      </c>
      <c r="E513" s="466" t="str">
        <f t="shared" si="8"/>
        <v>1</v>
      </c>
      <c r="F513" s="467">
        <v>50</v>
      </c>
      <c r="H513" s="467">
        <v>0</v>
      </c>
    </row>
    <row r="514" spans="1:8" hidden="1">
      <c r="A514" s="482" t="s">
        <v>543</v>
      </c>
      <c r="B514" s="483" t="s">
        <v>2188</v>
      </c>
      <c r="C514" s="479" t="s">
        <v>2189</v>
      </c>
      <c r="D514" s="481" t="s">
        <v>1808</v>
      </c>
      <c r="E514" s="466" t="str">
        <f t="shared" si="8"/>
        <v>MD</v>
      </c>
      <c r="F514" s="467">
        <v>2000</v>
      </c>
      <c r="H514" s="467">
        <v>1.65</v>
      </c>
    </row>
    <row r="515" spans="1:8" hidden="1">
      <c r="A515" s="482" t="s">
        <v>2190</v>
      </c>
      <c r="B515" s="483" t="s">
        <v>2188</v>
      </c>
      <c r="C515" s="479" t="s">
        <v>2191</v>
      </c>
      <c r="D515" s="481" t="s">
        <v>1808</v>
      </c>
      <c r="E515" s="466" t="str">
        <f t="shared" si="8"/>
        <v>MD</v>
      </c>
      <c r="F515" s="467">
        <v>2000</v>
      </c>
      <c r="H515" s="467" t="s">
        <v>1808</v>
      </c>
    </row>
    <row r="516" spans="1:8" hidden="1">
      <c r="A516" s="476" t="s">
        <v>2192</v>
      </c>
      <c r="B516" s="477" t="s">
        <v>2193</v>
      </c>
      <c r="C516" s="473" t="s">
        <v>2194</v>
      </c>
      <c r="D516" s="475" t="s">
        <v>1808</v>
      </c>
      <c r="E516" s="466" t="str">
        <f t="shared" si="8"/>
        <v>MD</v>
      </c>
      <c r="F516" s="467">
        <v>2000</v>
      </c>
      <c r="H516" s="467" t="e">
        <v>#N/A</v>
      </c>
    </row>
    <row r="517" spans="1:8" hidden="1">
      <c r="A517" s="473" t="s">
        <v>2195</v>
      </c>
      <c r="B517" s="477" t="s">
        <v>2196</v>
      </c>
      <c r="C517" s="473" t="s">
        <v>2197</v>
      </c>
      <c r="D517" s="475" t="s">
        <v>1808</v>
      </c>
      <c r="E517" s="466" t="str">
        <f t="shared" si="8"/>
        <v>MD</v>
      </c>
      <c r="F517" s="467">
        <v>2000</v>
      </c>
      <c r="H517" s="467" t="e">
        <v>#N/A</v>
      </c>
    </row>
    <row r="518" spans="1:8" hidden="1">
      <c r="A518" s="476" t="s">
        <v>542</v>
      </c>
      <c r="B518" s="477" t="s">
        <v>2198</v>
      </c>
      <c r="C518" s="473" t="s">
        <v>2199</v>
      </c>
      <c r="D518" s="475" t="s">
        <v>1808</v>
      </c>
      <c r="E518" s="466" t="str">
        <f t="shared" si="8"/>
        <v>MD</v>
      </c>
      <c r="F518" s="467">
        <v>2000</v>
      </c>
      <c r="H518" s="467">
        <v>0.33</v>
      </c>
    </row>
    <row r="519" spans="1:8" hidden="1">
      <c r="A519" s="476" t="s">
        <v>2200</v>
      </c>
      <c r="B519" s="477" t="s">
        <v>2201</v>
      </c>
      <c r="C519" s="473" t="s">
        <v>2202</v>
      </c>
      <c r="D519" s="475" t="s">
        <v>1808</v>
      </c>
      <c r="E519" s="466" t="str">
        <f t="shared" si="8"/>
        <v>MD</v>
      </c>
      <c r="F519" s="467">
        <v>2000</v>
      </c>
      <c r="H519" s="467" t="e">
        <v>#N/A</v>
      </c>
    </row>
    <row r="520" spans="1:8" hidden="1">
      <c r="A520" s="484" t="s">
        <v>1384</v>
      </c>
      <c r="B520" s="485" t="s">
        <v>2203</v>
      </c>
      <c r="C520" s="469" t="s">
        <v>2204</v>
      </c>
      <c r="D520" s="471" t="s">
        <v>1808</v>
      </c>
      <c r="E520" s="466" t="str">
        <f t="shared" si="8"/>
        <v>MD</v>
      </c>
      <c r="F520" s="467">
        <v>2000</v>
      </c>
      <c r="H520" s="467">
        <v>15</v>
      </c>
    </row>
    <row r="521" spans="1:8" hidden="1">
      <c r="A521" s="484" t="s">
        <v>470</v>
      </c>
      <c r="B521" s="521" t="s">
        <v>2205</v>
      </c>
      <c r="C521" s="469" t="s">
        <v>2206</v>
      </c>
      <c r="D521" s="471" t="s">
        <v>1808</v>
      </c>
      <c r="E521" s="466" t="str">
        <f t="shared" si="8"/>
        <v>MD</v>
      </c>
      <c r="F521" s="467">
        <v>2000</v>
      </c>
      <c r="H521" s="467">
        <v>0.16300000000000001</v>
      </c>
    </row>
    <row r="522" spans="1:8" hidden="1">
      <c r="A522" s="469" t="s">
        <v>502</v>
      </c>
      <c r="B522" s="485" t="s">
        <v>592</v>
      </c>
      <c r="C522" s="469" t="s">
        <v>2207</v>
      </c>
      <c r="D522" s="471" t="s">
        <v>1808</v>
      </c>
      <c r="E522" s="466" t="str">
        <f t="shared" si="8"/>
        <v>AH</v>
      </c>
      <c r="F522" s="467">
        <v>2000</v>
      </c>
      <c r="H522" s="467">
        <v>2.5000000000000001E-2</v>
      </c>
    </row>
    <row r="523" spans="1:8" hidden="1">
      <c r="A523" s="484" t="s">
        <v>555</v>
      </c>
      <c r="B523" s="485" t="s">
        <v>2208</v>
      </c>
      <c r="C523" s="469" t="s">
        <v>2209</v>
      </c>
      <c r="D523" s="471" t="s">
        <v>1808</v>
      </c>
      <c r="E523" s="466" t="str">
        <f t="shared" si="8"/>
        <v>MD</v>
      </c>
      <c r="F523" s="467">
        <v>2000</v>
      </c>
      <c r="H523" s="467">
        <v>2.09</v>
      </c>
    </row>
    <row r="524" spans="1:8" hidden="1">
      <c r="A524" s="504" t="s">
        <v>2210</v>
      </c>
      <c r="B524" s="490" t="s">
        <v>2211</v>
      </c>
      <c r="C524" s="489" t="s">
        <v>2212</v>
      </c>
      <c r="D524" s="491" t="s">
        <v>1808</v>
      </c>
      <c r="E524" s="466" t="str">
        <f t="shared" si="8"/>
        <v>MD</v>
      </c>
      <c r="F524" s="467">
        <v>2000</v>
      </c>
      <c r="H524" s="467" t="e">
        <v>#N/A</v>
      </c>
    </row>
    <row r="525" spans="1:8" hidden="1">
      <c r="A525" s="504" t="s">
        <v>2213</v>
      </c>
      <c r="B525" s="490" t="s">
        <v>2214</v>
      </c>
      <c r="C525" s="489" t="s">
        <v>2215</v>
      </c>
      <c r="D525" s="491" t="s">
        <v>1808</v>
      </c>
      <c r="E525" s="466" t="str">
        <f t="shared" si="8"/>
        <v>MD</v>
      </c>
      <c r="F525" s="467">
        <v>2000</v>
      </c>
      <c r="H525" s="467">
        <v>15</v>
      </c>
    </row>
    <row r="526" spans="1:8" hidden="1">
      <c r="A526" s="504" t="s">
        <v>471</v>
      </c>
      <c r="B526" s="522" t="s">
        <v>2216</v>
      </c>
      <c r="C526" s="489" t="s">
        <v>2217</v>
      </c>
      <c r="D526" s="491" t="s">
        <v>1808</v>
      </c>
      <c r="E526" s="466" t="str">
        <f t="shared" si="8"/>
        <v>MD</v>
      </c>
      <c r="F526" s="467">
        <v>2000</v>
      </c>
      <c r="H526" s="467">
        <v>0.13100000000000001</v>
      </c>
    </row>
    <row r="527" spans="1:8" hidden="1">
      <c r="A527" s="504" t="s">
        <v>544</v>
      </c>
      <c r="B527" s="490" t="s">
        <v>593</v>
      </c>
      <c r="C527" s="489" t="s">
        <v>2218</v>
      </c>
      <c r="D527" s="491" t="s">
        <v>1808</v>
      </c>
      <c r="E527" s="466" t="str">
        <f t="shared" ref="E527:E590" si="9">LEFT(A527,2)</f>
        <v>MD</v>
      </c>
      <c r="F527" s="467">
        <v>2000</v>
      </c>
      <c r="H527" s="467">
        <v>2.0499999999999998</v>
      </c>
    </row>
    <row r="528" spans="1:8" hidden="1">
      <c r="A528" s="479" t="s">
        <v>2219</v>
      </c>
      <c r="B528" s="483" t="s">
        <v>2220</v>
      </c>
      <c r="C528" s="479" t="s">
        <v>2221</v>
      </c>
      <c r="D528" s="481" t="s">
        <v>1808</v>
      </c>
      <c r="E528" s="466" t="str">
        <f t="shared" si="9"/>
        <v>DM</v>
      </c>
      <c r="F528" s="467">
        <v>2000</v>
      </c>
      <c r="H528" s="467" t="e">
        <v>#N/A</v>
      </c>
    </row>
    <row r="529" spans="1:8" hidden="1">
      <c r="A529" s="479" t="s">
        <v>2222</v>
      </c>
      <c r="B529" s="483" t="s">
        <v>2223</v>
      </c>
      <c r="C529" s="479" t="s">
        <v>2224</v>
      </c>
      <c r="D529" s="481" t="s">
        <v>1808</v>
      </c>
      <c r="E529" s="466" t="str">
        <f t="shared" si="9"/>
        <v>DM</v>
      </c>
      <c r="F529" s="467">
        <v>2000</v>
      </c>
      <c r="H529" s="467" t="s">
        <v>1808</v>
      </c>
    </row>
    <row r="530" spans="1:8" hidden="1">
      <c r="A530" s="479" t="s">
        <v>2225</v>
      </c>
      <c r="B530" s="483" t="s">
        <v>2226</v>
      </c>
      <c r="C530" s="479" t="s">
        <v>2227</v>
      </c>
      <c r="D530" s="481" t="s">
        <v>1808</v>
      </c>
      <c r="E530" s="466" t="str">
        <f t="shared" si="9"/>
        <v>DM</v>
      </c>
      <c r="F530" s="467">
        <v>2000</v>
      </c>
      <c r="H530" s="467" t="e">
        <v>#N/A</v>
      </c>
    </row>
    <row r="531" spans="1:8" hidden="1">
      <c r="A531" s="473" t="s">
        <v>2228</v>
      </c>
      <c r="B531" s="477" t="s">
        <v>2229</v>
      </c>
      <c r="C531" s="473" t="s">
        <v>2230</v>
      </c>
      <c r="D531" s="475" t="s">
        <v>1808</v>
      </c>
      <c r="E531" s="466" t="str">
        <f t="shared" si="9"/>
        <v>DD</v>
      </c>
      <c r="F531" s="467">
        <v>2000</v>
      </c>
      <c r="H531" s="467" t="e">
        <v>#N/A</v>
      </c>
    </row>
    <row r="532" spans="1:8" hidden="1">
      <c r="A532" s="473" t="s">
        <v>2231</v>
      </c>
      <c r="B532" s="477" t="s">
        <v>2232</v>
      </c>
      <c r="C532" s="473" t="s">
        <v>2233</v>
      </c>
      <c r="D532" s="475" t="s">
        <v>1808</v>
      </c>
      <c r="E532" s="466" t="str">
        <f t="shared" si="9"/>
        <v>DD</v>
      </c>
      <c r="F532" s="467">
        <v>2000</v>
      </c>
      <c r="H532" s="467" t="s">
        <v>1808</v>
      </c>
    </row>
    <row r="533" spans="1:8" hidden="1">
      <c r="A533" s="473" t="s">
        <v>2234</v>
      </c>
      <c r="B533" s="477" t="s">
        <v>2232</v>
      </c>
      <c r="C533" s="473" t="s">
        <v>2235</v>
      </c>
      <c r="D533" s="475" t="s">
        <v>1808</v>
      </c>
      <c r="E533" s="466" t="str">
        <f t="shared" si="9"/>
        <v>DD</v>
      </c>
      <c r="F533" s="467">
        <v>2000</v>
      </c>
      <c r="H533" s="467" t="e">
        <v>#N/A</v>
      </c>
    </row>
    <row r="534" spans="1:8" hidden="1">
      <c r="A534" s="489" t="s">
        <v>2236</v>
      </c>
      <c r="B534" s="490" t="s">
        <v>2237</v>
      </c>
      <c r="C534" s="489" t="s">
        <v>2238</v>
      </c>
      <c r="D534" s="491" t="s">
        <v>1808</v>
      </c>
      <c r="E534" s="466" t="str">
        <f t="shared" si="9"/>
        <v>DC</v>
      </c>
      <c r="F534" s="467">
        <v>2000</v>
      </c>
      <c r="H534" s="467">
        <v>0.24</v>
      </c>
    </row>
    <row r="535" spans="1:8" hidden="1">
      <c r="A535" s="489" t="s">
        <v>2239</v>
      </c>
      <c r="B535" s="490" t="s">
        <v>2237</v>
      </c>
      <c r="C535" s="489" t="s">
        <v>2240</v>
      </c>
      <c r="D535" s="491" t="s">
        <v>1808</v>
      </c>
      <c r="E535" s="466" t="str">
        <f t="shared" si="9"/>
        <v>DD</v>
      </c>
      <c r="F535" s="467">
        <v>2000</v>
      </c>
      <c r="H535" s="467" t="e">
        <v>#N/A</v>
      </c>
    </row>
    <row r="536" spans="1:8" hidden="1">
      <c r="A536" s="489" t="s">
        <v>2241</v>
      </c>
      <c r="B536" s="490" t="s">
        <v>2237</v>
      </c>
      <c r="C536" s="489" t="s">
        <v>2242</v>
      </c>
      <c r="D536" s="491" t="s">
        <v>1808</v>
      </c>
      <c r="E536" s="466" t="str">
        <f t="shared" si="9"/>
        <v>DD</v>
      </c>
      <c r="F536" s="467">
        <v>2000</v>
      </c>
      <c r="H536" s="467" t="e">
        <v>#N/A</v>
      </c>
    </row>
    <row r="537" spans="1:8" hidden="1">
      <c r="A537" s="494" t="s">
        <v>2243</v>
      </c>
      <c r="B537" s="493" t="s">
        <v>2220</v>
      </c>
      <c r="C537" s="494" t="s">
        <v>2244</v>
      </c>
      <c r="D537" s="495" t="s">
        <v>1808</v>
      </c>
      <c r="E537" s="466" t="str">
        <f t="shared" si="9"/>
        <v>DT</v>
      </c>
      <c r="F537" s="467">
        <v>2000</v>
      </c>
      <c r="H537" s="467" t="e">
        <v>#N/A</v>
      </c>
    </row>
    <row r="538" spans="1:8" hidden="1">
      <c r="A538" s="494" t="s">
        <v>628</v>
      </c>
      <c r="B538" s="493" t="s">
        <v>2245</v>
      </c>
      <c r="C538" s="494" t="s">
        <v>2246</v>
      </c>
      <c r="D538" s="495" t="s">
        <v>1808</v>
      </c>
      <c r="E538" s="466" t="str">
        <f t="shared" si="9"/>
        <v>DT</v>
      </c>
      <c r="F538" s="467">
        <v>2000</v>
      </c>
      <c r="H538" s="467">
        <v>0.24</v>
      </c>
    </row>
    <row r="539" spans="1:8" hidden="1">
      <c r="A539" s="494" t="s">
        <v>2247</v>
      </c>
      <c r="B539" s="493" t="s">
        <v>2223</v>
      </c>
      <c r="C539" s="494" t="s">
        <v>2248</v>
      </c>
      <c r="D539" s="495" t="s">
        <v>1808</v>
      </c>
      <c r="E539" s="466" t="str">
        <f t="shared" si="9"/>
        <v>DT</v>
      </c>
      <c r="F539" s="467">
        <v>2000</v>
      </c>
      <c r="H539" s="467" t="e">
        <v>#N/A</v>
      </c>
    </row>
    <row r="540" spans="1:8" hidden="1">
      <c r="A540" s="494" t="s">
        <v>2249</v>
      </c>
      <c r="B540" s="493" t="s">
        <v>2229</v>
      </c>
      <c r="C540" s="494" t="s">
        <v>2250</v>
      </c>
      <c r="D540" s="495" t="s">
        <v>1808</v>
      </c>
      <c r="E540" s="466" t="str">
        <f t="shared" si="9"/>
        <v>DA</v>
      </c>
      <c r="F540" s="467">
        <v>2000</v>
      </c>
      <c r="H540" s="467" t="e">
        <v>#N/A</v>
      </c>
    </row>
    <row r="541" spans="1:8" hidden="1">
      <c r="A541" s="494" t="s">
        <v>638</v>
      </c>
      <c r="B541" s="493" t="s">
        <v>2251</v>
      </c>
      <c r="C541" s="494" t="s">
        <v>2252</v>
      </c>
      <c r="D541" s="495" t="s">
        <v>1808</v>
      </c>
      <c r="E541" s="466" t="str">
        <f t="shared" si="9"/>
        <v>DA</v>
      </c>
      <c r="F541" s="467">
        <v>2000</v>
      </c>
      <c r="H541" s="467">
        <v>0.09</v>
      </c>
    </row>
    <row r="542" spans="1:8" hidden="1">
      <c r="A542" s="494" t="s">
        <v>2253</v>
      </c>
      <c r="B542" s="493" t="s">
        <v>2232</v>
      </c>
      <c r="C542" s="494" t="s">
        <v>2254</v>
      </c>
      <c r="D542" s="495" t="s">
        <v>1808</v>
      </c>
      <c r="E542" s="466" t="str">
        <f t="shared" si="9"/>
        <v>DA</v>
      </c>
      <c r="F542" s="467">
        <v>2000</v>
      </c>
      <c r="H542" s="467" t="e">
        <v>#N/A</v>
      </c>
    </row>
    <row r="543" spans="1:8" hidden="1">
      <c r="A543" s="463" t="s">
        <v>2255</v>
      </c>
      <c r="B543" s="488" t="s">
        <v>2256</v>
      </c>
      <c r="C543" s="523" t="s">
        <v>2257</v>
      </c>
      <c r="D543" s="465" t="s">
        <v>775</v>
      </c>
      <c r="E543" s="466" t="str">
        <f t="shared" si="9"/>
        <v>LG</v>
      </c>
      <c r="F543" s="467">
        <v>2000</v>
      </c>
      <c r="H543" s="467" t="s">
        <v>775</v>
      </c>
    </row>
    <row r="544" spans="1:8" hidden="1">
      <c r="A544" s="463" t="s">
        <v>2258</v>
      </c>
      <c r="B544" s="524" t="s">
        <v>2259</v>
      </c>
      <c r="C544" s="523" t="s">
        <v>2260</v>
      </c>
      <c r="D544" s="465" t="s">
        <v>775</v>
      </c>
      <c r="E544" s="466" t="str">
        <f t="shared" si="9"/>
        <v>la</v>
      </c>
      <c r="F544" s="467">
        <v>2000</v>
      </c>
      <c r="H544" s="467" t="e">
        <v>#N/A</v>
      </c>
    </row>
    <row r="545" spans="1:8" hidden="1">
      <c r="A545" s="463" t="s">
        <v>2261</v>
      </c>
      <c r="B545" s="464" t="s">
        <v>2262</v>
      </c>
      <c r="C545" s="463" t="s">
        <v>2263</v>
      </c>
      <c r="D545" s="465" t="s">
        <v>2113</v>
      </c>
      <c r="E545" s="466" t="str">
        <f t="shared" si="9"/>
        <v>LG</v>
      </c>
      <c r="F545" s="467">
        <v>2000</v>
      </c>
      <c r="H545" s="467" t="e">
        <v>#N/A</v>
      </c>
    </row>
    <row r="546" spans="1:8" hidden="1">
      <c r="A546" s="463" t="s">
        <v>2264</v>
      </c>
      <c r="B546" s="464"/>
      <c r="C546" s="463" t="s">
        <v>2265</v>
      </c>
      <c r="D546" s="465" t="s">
        <v>1808</v>
      </c>
      <c r="E546" s="466" t="str">
        <f t="shared" si="9"/>
        <v>LN</v>
      </c>
      <c r="F546" s="467">
        <v>2000</v>
      </c>
      <c r="H546" s="467" t="e">
        <v>#N/A</v>
      </c>
    </row>
    <row r="547" spans="1:8">
      <c r="A547" s="525" t="s">
        <v>518</v>
      </c>
      <c r="B547" s="493" t="s">
        <v>1395</v>
      </c>
      <c r="C547" s="494" t="s">
        <v>2266</v>
      </c>
      <c r="D547" s="495" t="s">
        <v>281</v>
      </c>
      <c r="E547" s="466" t="str">
        <f t="shared" si="9"/>
        <v>M1</v>
      </c>
      <c r="F547" s="467">
        <v>2000</v>
      </c>
      <c r="H547" s="467">
        <v>0</v>
      </c>
    </row>
    <row r="548" spans="1:8" hidden="1">
      <c r="A548" s="494" t="s">
        <v>2267</v>
      </c>
      <c r="B548" s="493" t="s">
        <v>1395</v>
      </c>
      <c r="C548" s="494" t="s">
        <v>2268</v>
      </c>
      <c r="D548" s="495" t="s">
        <v>281</v>
      </c>
      <c r="E548" s="466" t="str">
        <f t="shared" si="9"/>
        <v>M1</v>
      </c>
      <c r="F548" s="467">
        <v>2000</v>
      </c>
      <c r="H548" s="467" t="e">
        <v>#N/A</v>
      </c>
    </row>
    <row r="549" spans="1:8" hidden="1">
      <c r="A549" s="494" t="s">
        <v>2269</v>
      </c>
      <c r="B549" s="493" t="s">
        <v>1398</v>
      </c>
      <c r="C549" s="494" t="s">
        <v>2270</v>
      </c>
      <c r="D549" s="495" t="s">
        <v>281</v>
      </c>
      <c r="E549" s="466" t="str">
        <f t="shared" si="9"/>
        <v>MD</v>
      </c>
      <c r="F549" s="467">
        <v>2000</v>
      </c>
      <c r="H549" s="467" t="e">
        <v>#N/A</v>
      </c>
    </row>
    <row r="550" spans="1:8" hidden="1">
      <c r="A550" s="463" t="s">
        <v>2271</v>
      </c>
      <c r="B550" s="464" t="s">
        <v>1485</v>
      </c>
      <c r="C550" s="463" t="s">
        <v>2272</v>
      </c>
      <c r="D550" s="465" t="s">
        <v>416</v>
      </c>
      <c r="E550" s="466" t="str">
        <f t="shared" si="9"/>
        <v>DC</v>
      </c>
      <c r="F550" s="467">
        <v>2000</v>
      </c>
      <c r="H550" s="467" t="e">
        <v>#N/A</v>
      </c>
    </row>
    <row r="551" spans="1:8" hidden="1">
      <c r="A551" s="463" t="s">
        <v>2273</v>
      </c>
      <c r="B551" s="464" t="s">
        <v>1485</v>
      </c>
      <c r="C551" s="463" t="s">
        <v>2274</v>
      </c>
      <c r="D551" s="465" t="s">
        <v>416</v>
      </c>
      <c r="E551" s="466" t="str">
        <f t="shared" si="9"/>
        <v>DC</v>
      </c>
      <c r="F551" s="467">
        <v>2000</v>
      </c>
      <c r="H551" s="467" t="e">
        <v>#N/A</v>
      </c>
    </row>
    <row r="552" spans="1:8" hidden="1">
      <c r="A552" s="463" t="s">
        <v>2275</v>
      </c>
      <c r="B552" s="464" t="s">
        <v>1485</v>
      </c>
      <c r="C552" s="463" t="s">
        <v>2276</v>
      </c>
      <c r="D552" s="465" t="s">
        <v>416</v>
      </c>
      <c r="E552" s="466" t="str">
        <f t="shared" si="9"/>
        <v>DC</v>
      </c>
      <c r="F552" s="467">
        <v>2000</v>
      </c>
      <c r="H552" s="467" t="e">
        <v>#N/A</v>
      </c>
    </row>
    <row r="553" spans="1:8" hidden="1">
      <c r="A553" s="463" t="s">
        <v>2277</v>
      </c>
      <c r="B553" s="464" t="s">
        <v>1818</v>
      </c>
      <c r="C553" s="463" t="s">
        <v>2278</v>
      </c>
      <c r="D553" s="465" t="s">
        <v>1814</v>
      </c>
      <c r="E553" s="466" t="str">
        <f t="shared" si="9"/>
        <v>QB</v>
      </c>
      <c r="F553" s="467">
        <v>2000</v>
      </c>
      <c r="H553" s="467" t="e">
        <v>#N/A</v>
      </c>
    </row>
    <row r="554" spans="1:8" hidden="1">
      <c r="A554" s="463" t="s">
        <v>2279</v>
      </c>
      <c r="B554" s="464" t="s">
        <v>2280</v>
      </c>
      <c r="C554" s="463" t="s">
        <v>2281</v>
      </c>
      <c r="D554" s="465" t="s">
        <v>778</v>
      </c>
      <c r="E554" s="466" t="str">
        <f t="shared" si="9"/>
        <v>VC</v>
      </c>
      <c r="F554" s="467">
        <v>2000</v>
      </c>
      <c r="H554" s="467" t="e">
        <v>#N/A</v>
      </c>
    </row>
    <row r="555" spans="1:8" hidden="1">
      <c r="A555" s="463" t="s">
        <v>2282</v>
      </c>
      <c r="B555" s="464" t="s">
        <v>2283</v>
      </c>
      <c r="C555" s="463" t="s">
        <v>2284</v>
      </c>
      <c r="D555" s="465" t="s">
        <v>778</v>
      </c>
      <c r="E555" s="466" t="str">
        <f t="shared" si="9"/>
        <v>VC</v>
      </c>
      <c r="F555" s="467">
        <v>2000</v>
      </c>
      <c r="H555" s="467" t="e">
        <v>#N/A</v>
      </c>
    </row>
    <row r="556" spans="1:8" hidden="1">
      <c r="A556" s="463" t="s">
        <v>2285</v>
      </c>
      <c r="B556" s="464" t="s">
        <v>2286</v>
      </c>
      <c r="C556" s="463" t="s">
        <v>2287</v>
      </c>
      <c r="D556" s="465" t="s">
        <v>778</v>
      </c>
      <c r="E556" s="466" t="str">
        <f t="shared" si="9"/>
        <v>VC</v>
      </c>
      <c r="F556" s="467">
        <v>2000</v>
      </c>
      <c r="H556" s="467" t="e">
        <v>#N/A</v>
      </c>
    </row>
    <row r="557" spans="1:8" hidden="1">
      <c r="A557" s="463" t="s">
        <v>2288</v>
      </c>
      <c r="B557" s="464" t="s">
        <v>2289</v>
      </c>
      <c r="C557" s="463" t="s">
        <v>2290</v>
      </c>
      <c r="D557" s="465" t="s">
        <v>778</v>
      </c>
      <c r="E557" s="466" t="str">
        <f t="shared" si="9"/>
        <v>VC</v>
      </c>
      <c r="F557" s="467">
        <v>2000</v>
      </c>
      <c r="H557" s="467" t="e">
        <v>#N/A</v>
      </c>
    </row>
    <row r="558" spans="1:8" hidden="1">
      <c r="A558" s="463" t="s">
        <v>2291</v>
      </c>
      <c r="B558" s="464" t="s">
        <v>2280</v>
      </c>
      <c r="C558" s="463" t="s">
        <v>2292</v>
      </c>
      <c r="D558" s="465" t="s">
        <v>778</v>
      </c>
      <c r="E558" s="466" t="str">
        <f t="shared" si="9"/>
        <v>VC</v>
      </c>
      <c r="F558" s="467">
        <v>2000</v>
      </c>
      <c r="H558" s="467" t="e">
        <v>#N/A</v>
      </c>
    </row>
    <row r="559" spans="1:8" hidden="1">
      <c r="A559" s="463" t="s">
        <v>2293</v>
      </c>
      <c r="B559" s="464" t="s">
        <v>2283</v>
      </c>
      <c r="C559" s="463" t="s">
        <v>2294</v>
      </c>
      <c r="D559" s="465" t="s">
        <v>778</v>
      </c>
      <c r="E559" s="466" t="str">
        <f t="shared" si="9"/>
        <v>VC</v>
      </c>
      <c r="F559" s="467">
        <v>2000</v>
      </c>
      <c r="H559" s="467" t="e">
        <v>#N/A</v>
      </c>
    </row>
    <row r="560" spans="1:8" hidden="1">
      <c r="A560" s="463" t="s">
        <v>2295</v>
      </c>
      <c r="B560" s="464" t="s">
        <v>2286</v>
      </c>
      <c r="C560" s="463" t="s">
        <v>2296</v>
      </c>
      <c r="D560" s="465" t="s">
        <v>778</v>
      </c>
      <c r="E560" s="466" t="str">
        <f t="shared" si="9"/>
        <v>VC</v>
      </c>
      <c r="F560" s="467">
        <v>2000</v>
      </c>
      <c r="H560" s="467" t="e">
        <v>#N/A</v>
      </c>
    </row>
    <row r="561" spans="1:8" hidden="1">
      <c r="A561" s="463" t="s">
        <v>2297</v>
      </c>
      <c r="B561" s="464" t="s">
        <v>2289</v>
      </c>
      <c r="C561" s="463" t="s">
        <v>2298</v>
      </c>
      <c r="D561" s="465" t="s">
        <v>778</v>
      </c>
      <c r="E561" s="466" t="str">
        <f t="shared" si="9"/>
        <v>VC</v>
      </c>
      <c r="F561" s="467">
        <v>2000</v>
      </c>
      <c r="H561" s="467" t="e">
        <v>#N/A</v>
      </c>
    </row>
    <row r="562" spans="1:8" hidden="1">
      <c r="A562" s="463" t="s">
        <v>2299</v>
      </c>
      <c r="B562" s="464" t="s">
        <v>2300</v>
      </c>
      <c r="C562" s="463" t="s">
        <v>2301</v>
      </c>
      <c r="D562" s="465" t="s">
        <v>778</v>
      </c>
      <c r="E562" s="466" t="str">
        <f t="shared" si="9"/>
        <v>VC</v>
      </c>
      <c r="F562" s="467">
        <v>2000</v>
      </c>
      <c r="H562" s="467" t="e">
        <v>#N/A</v>
      </c>
    </row>
    <row r="563" spans="1:8" hidden="1">
      <c r="A563" s="463" t="s">
        <v>2302</v>
      </c>
      <c r="B563" s="464" t="s">
        <v>2303</v>
      </c>
      <c r="C563" s="463" t="s">
        <v>2304</v>
      </c>
      <c r="D563" s="465" t="s">
        <v>778</v>
      </c>
      <c r="E563" s="466" t="str">
        <f t="shared" si="9"/>
        <v>VC</v>
      </c>
      <c r="F563" s="467">
        <v>2000</v>
      </c>
      <c r="H563" s="467" t="e">
        <v>#N/A</v>
      </c>
    </row>
    <row r="564" spans="1:8" hidden="1">
      <c r="A564" s="463" t="s">
        <v>2305</v>
      </c>
      <c r="B564" s="464" t="s">
        <v>2306</v>
      </c>
      <c r="C564" s="463" t="s">
        <v>2307</v>
      </c>
      <c r="D564" s="465" t="s">
        <v>778</v>
      </c>
      <c r="E564" s="466" t="str">
        <f t="shared" si="9"/>
        <v>VC</v>
      </c>
      <c r="F564" s="467">
        <v>2000</v>
      </c>
      <c r="H564" s="467" t="e">
        <v>#N/A</v>
      </c>
    </row>
    <row r="565" spans="1:8" hidden="1">
      <c r="A565" s="463" t="s">
        <v>2308</v>
      </c>
      <c r="B565" s="464" t="s">
        <v>2309</v>
      </c>
      <c r="C565" s="463" t="s">
        <v>2310</v>
      </c>
      <c r="D565" s="465" t="s">
        <v>778</v>
      </c>
      <c r="E565" s="466" t="str">
        <f t="shared" si="9"/>
        <v>VC</v>
      </c>
      <c r="F565" s="467">
        <v>2000</v>
      </c>
      <c r="H565" s="467" t="e">
        <v>#N/A</v>
      </c>
    </row>
    <row r="566" spans="1:8" hidden="1">
      <c r="A566" s="463" t="s">
        <v>2311</v>
      </c>
      <c r="B566" s="464" t="s">
        <v>2312</v>
      </c>
      <c r="C566" s="463" t="s">
        <v>2313</v>
      </c>
      <c r="D566" s="465" t="s">
        <v>778</v>
      </c>
      <c r="E566" s="466" t="str">
        <f t="shared" si="9"/>
        <v>VC</v>
      </c>
      <c r="F566" s="467">
        <v>2000</v>
      </c>
      <c r="H566" s="467" t="e">
        <v>#N/A</v>
      </c>
    </row>
    <row r="567" spans="1:8" hidden="1">
      <c r="A567" s="463" t="s">
        <v>2314</v>
      </c>
      <c r="B567" s="464" t="s">
        <v>2315</v>
      </c>
      <c r="C567" s="463" t="s">
        <v>2316</v>
      </c>
      <c r="D567" s="465" t="s">
        <v>778</v>
      </c>
      <c r="E567" s="466" t="str">
        <f t="shared" si="9"/>
        <v>VC</v>
      </c>
      <c r="F567" s="467">
        <v>2000</v>
      </c>
      <c r="H567" s="467" t="e">
        <v>#N/A</v>
      </c>
    </row>
    <row r="568" spans="1:8" hidden="1">
      <c r="A568" s="463" t="s">
        <v>2317</v>
      </c>
      <c r="B568" s="464" t="s">
        <v>2318</v>
      </c>
      <c r="C568" s="463" t="s">
        <v>2319</v>
      </c>
      <c r="D568" s="465" t="s">
        <v>778</v>
      </c>
      <c r="E568" s="466" t="str">
        <f t="shared" si="9"/>
        <v>VC</v>
      </c>
      <c r="F568" s="467">
        <v>2000</v>
      </c>
      <c r="H568" s="467" t="e">
        <v>#N/A</v>
      </c>
    </row>
    <row r="569" spans="1:8" hidden="1">
      <c r="A569" s="463" t="s">
        <v>2320</v>
      </c>
      <c r="B569" s="464" t="s">
        <v>2321</v>
      </c>
      <c r="C569" s="463" t="s">
        <v>2322</v>
      </c>
      <c r="D569" s="465" t="s">
        <v>778</v>
      </c>
      <c r="E569" s="466" t="str">
        <f t="shared" si="9"/>
        <v>VC</v>
      </c>
      <c r="F569" s="467">
        <v>2000</v>
      </c>
      <c r="H569" s="467" t="e">
        <v>#N/A</v>
      </c>
    </row>
    <row r="570" spans="1:8" hidden="1">
      <c r="A570" s="463" t="s">
        <v>2323</v>
      </c>
      <c r="B570" s="464" t="s">
        <v>2300</v>
      </c>
      <c r="C570" s="463" t="s">
        <v>2324</v>
      </c>
      <c r="D570" s="465" t="s">
        <v>778</v>
      </c>
      <c r="E570" s="466" t="str">
        <f t="shared" si="9"/>
        <v>VC</v>
      </c>
      <c r="F570" s="467">
        <v>2000</v>
      </c>
      <c r="H570" s="467" t="e">
        <v>#N/A</v>
      </c>
    </row>
    <row r="571" spans="1:8" hidden="1">
      <c r="A571" s="463" t="s">
        <v>2325</v>
      </c>
      <c r="B571" s="464" t="s">
        <v>2303</v>
      </c>
      <c r="C571" s="463" t="s">
        <v>2326</v>
      </c>
      <c r="D571" s="465" t="s">
        <v>778</v>
      </c>
      <c r="E571" s="466" t="str">
        <f t="shared" si="9"/>
        <v>VC</v>
      </c>
      <c r="F571" s="467">
        <v>2000</v>
      </c>
      <c r="H571" s="467" t="e">
        <v>#N/A</v>
      </c>
    </row>
    <row r="572" spans="1:8" hidden="1">
      <c r="A572" s="463" t="s">
        <v>2327</v>
      </c>
      <c r="B572" s="464" t="s">
        <v>2306</v>
      </c>
      <c r="C572" s="463" t="s">
        <v>2328</v>
      </c>
      <c r="D572" s="465" t="s">
        <v>778</v>
      </c>
      <c r="E572" s="466" t="str">
        <f t="shared" si="9"/>
        <v>VC</v>
      </c>
      <c r="F572" s="467">
        <v>2000</v>
      </c>
      <c r="H572" s="467" t="e">
        <v>#N/A</v>
      </c>
    </row>
    <row r="573" spans="1:8" hidden="1">
      <c r="A573" s="463" t="s">
        <v>2329</v>
      </c>
      <c r="B573" s="464" t="s">
        <v>2309</v>
      </c>
      <c r="C573" s="463" t="s">
        <v>2330</v>
      </c>
      <c r="D573" s="465" t="s">
        <v>778</v>
      </c>
      <c r="E573" s="466" t="str">
        <f t="shared" si="9"/>
        <v>VC</v>
      </c>
      <c r="F573" s="467">
        <v>2000</v>
      </c>
      <c r="H573" s="467" t="e">
        <v>#N/A</v>
      </c>
    </row>
    <row r="574" spans="1:8" hidden="1">
      <c r="A574" s="463" t="s">
        <v>2331</v>
      </c>
      <c r="B574" s="464" t="s">
        <v>2332</v>
      </c>
      <c r="C574" s="463" t="s">
        <v>2333</v>
      </c>
      <c r="D574" s="465" t="s">
        <v>778</v>
      </c>
      <c r="E574" s="466" t="str">
        <f t="shared" si="9"/>
        <v>VC</v>
      </c>
      <c r="F574" s="467">
        <v>2000</v>
      </c>
      <c r="H574" s="467" t="e">
        <v>#N/A</v>
      </c>
    </row>
    <row r="575" spans="1:8" hidden="1">
      <c r="A575" s="463" t="s">
        <v>2334</v>
      </c>
      <c r="B575" s="464" t="s">
        <v>2335</v>
      </c>
      <c r="C575" s="463" t="s">
        <v>2336</v>
      </c>
      <c r="D575" s="465" t="s">
        <v>778</v>
      </c>
      <c r="E575" s="466" t="str">
        <f t="shared" si="9"/>
        <v>VC</v>
      </c>
      <c r="F575" s="467">
        <v>2000</v>
      </c>
      <c r="H575" s="467" t="e">
        <v>#N/A</v>
      </c>
    </row>
    <row r="576" spans="1:8" hidden="1">
      <c r="A576" s="463" t="s">
        <v>2337</v>
      </c>
      <c r="B576" s="464" t="s">
        <v>2338</v>
      </c>
      <c r="C576" s="463" t="s">
        <v>2339</v>
      </c>
      <c r="D576" s="465" t="s">
        <v>778</v>
      </c>
      <c r="E576" s="466" t="str">
        <f t="shared" si="9"/>
        <v>VC</v>
      </c>
      <c r="F576" s="467">
        <v>2000</v>
      </c>
      <c r="H576" s="467" t="e">
        <v>#N/A</v>
      </c>
    </row>
    <row r="577" spans="1:8" hidden="1">
      <c r="A577" s="463" t="s">
        <v>2340</v>
      </c>
      <c r="B577" s="464" t="s">
        <v>2341</v>
      </c>
      <c r="C577" s="463" t="s">
        <v>2342</v>
      </c>
      <c r="D577" s="465" t="s">
        <v>778</v>
      </c>
      <c r="E577" s="466" t="str">
        <f t="shared" si="9"/>
        <v>VC</v>
      </c>
      <c r="F577" s="467">
        <v>2000</v>
      </c>
      <c r="H577" s="467" t="e">
        <v>#N/A</v>
      </c>
    </row>
    <row r="578" spans="1:8" hidden="1">
      <c r="A578" s="463" t="s">
        <v>2343</v>
      </c>
      <c r="B578" s="464" t="s">
        <v>2344</v>
      </c>
      <c r="C578" s="463" t="s">
        <v>2345</v>
      </c>
      <c r="D578" s="465" t="s">
        <v>778</v>
      </c>
      <c r="E578" s="466" t="str">
        <f t="shared" si="9"/>
        <v>VC</v>
      </c>
      <c r="F578" s="467">
        <v>2000</v>
      </c>
      <c r="H578" s="467" t="e">
        <v>#N/A</v>
      </c>
    </row>
    <row r="579" spans="1:8" hidden="1">
      <c r="A579" s="463" t="s">
        <v>2346</v>
      </c>
      <c r="B579" s="464" t="s">
        <v>2347</v>
      </c>
      <c r="C579" s="463" t="s">
        <v>2348</v>
      </c>
      <c r="D579" s="465" t="s">
        <v>778</v>
      </c>
      <c r="E579" s="466" t="str">
        <f t="shared" si="9"/>
        <v>VC</v>
      </c>
      <c r="F579" s="467">
        <v>2000</v>
      </c>
      <c r="H579" s="467" t="e">
        <v>#N/A</v>
      </c>
    </row>
    <row r="580" spans="1:8" hidden="1">
      <c r="A580" s="463" t="s">
        <v>2349</v>
      </c>
      <c r="B580" s="464" t="s">
        <v>2350</v>
      </c>
      <c r="C580" s="463" t="s">
        <v>2351</v>
      </c>
      <c r="D580" s="465" t="s">
        <v>778</v>
      </c>
      <c r="E580" s="466" t="str">
        <f t="shared" si="9"/>
        <v>VC</v>
      </c>
      <c r="F580" s="467">
        <v>2000</v>
      </c>
      <c r="H580" s="467" t="e">
        <v>#N/A</v>
      </c>
    </row>
    <row r="581" spans="1:8" hidden="1">
      <c r="A581" s="463" t="s">
        <v>2352</v>
      </c>
      <c r="B581" s="464" t="s">
        <v>2353</v>
      </c>
      <c r="C581" s="463" t="s">
        <v>2354</v>
      </c>
      <c r="D581" s="465" t="s">
        <v>778</v>
      </c>
      <c r="E581" s="466" t="str">
        <f t="shared" si="9"/>
        <v>VC</v>
      </c>
      <c r="F581" s="467">
        <v>2000</v>
      </c>
      <c r="H581" s="467" t="e">
        <v>#N/A</v>
      </c>
    </row>
    <row r="582" spans="1:8" hidden="1">
      <c r="A582" s="463" t="s">
        <v>2355</v>
      </c>
      <c r="B582" s="464" t="s">
        <v>2356</v>
      </c>
      <c r="C582" s="463" t="s">
        <v>2357</v>
      </c>
      <c r="D582" s="465" t="s">
        <v>778</v>
      </c>
      <c r="E582" s="466" t="str">
        <f t="shared" si="9"/>
        <v>VC</v>
      </c>
      <c r="F582" s="467">
        <v>2000</v>
      </c>
      <c r="H582" s="467" t="e">
        <v>#N/A</v>
      </c>
    </row>
    <row r="583" spans="1:8" hidden="1">
      <c r="A583" s="463" t="s">
        <v>2358</v>
      </c>
      <c r="B583" s="464" t="s">
        <v>2359</v>
      </c>
      <c r="C583" s="463" t="s">
        <v>2360</v>
      </c>
      <c r="D583" s="465" t="s">
        <v>778</v>
      </c>
      <c r="E583" s="466" t="str">
        <f t="shared" si="9"/>
        <v>VC</v>
      </c>
      <c r="F583" s="467">
        <v>2000</v>
      </c>
      <c r="H583" s="467" t="e">
        <v>#N/A</v>
      </c>
    </row>
    <row r="584" spans="1:8" hidden="1">
      <c r="A584" s="463" t="s">
        <v>2361</v>
      </c>
      <c r="B584" s="464" t="s">
        <v>2362</v>
      </c>
      <c r="C584" s="463" t="s">
        <v>2363</v>
      </c>
      <c r="D584" s="465" t="s">
        <v>778</v>
      </c>
      <c r="E584" s="466" t="str">
        <f t="shared" si="9"/>
        <v>VC</v>
      </c>
      <c r="F584" s="467">
        <v>2000</v>
      </c>
      <c r="H584" s="467" t="e">
        <v>#N/A</v>
      </c>
    </row>
    <row r="585" spans="1:8" hidden="1">
      <c r="A585" s="463" t="s">
        <v>2364</v>
      </c>
      <c r="B585" s="464" t="s">
        <v>2365</v>
      </c>
      <c r="C585" s="463" t="s">
        <v>2366</v>
      </c>
      <c r="D585" s="465" t="s">
        <v>778</v>
      </c>
      <c r="E585" s="466" t="str">
        <f t="shared" si="9"/>
        <v>VC</v>
      </c>
      <c r="F585" s="467">
        <v>2000</v>
      </c>
      <c r="H585" s="467" t="e">
        <v>#N/A</v>
      </c>
    </row>
    <row r="586" spans="1:8" hidden="1">
      <c r="A586" s="463" t="s">
        <v>2367</v>
      </c>
      <c r="B586" s="464" t="s">
        <v>779</v>
      </c>
      <c r="C586" s="463" t="s">
        <v>780</v>
      </c>
      <c r="D586" s="465" t="s">
        <v>778</v>
      </c>
      <c r="E586" s="466" t="str">
        <f t="shared" si="9"/>
        <v>VC</v>
      </c>
      <c r="F586" s="467">
        <v>2000</v>
      </c>
      <c r="H586" s="467" t="e">
        <v>#N/A</v>
      </c>
    </row>
    <row r="587" spans="1:8" hidden="1">
      <c r="A587" s="463" t="s">
        <v>2368</v>
      </c>
      <c r="B587" s="464" t="s">
        <v>2369</v>
      </c>
      <c r="C587" s="463" t="s">
        <v>2370</v>
      </c>
      <c r="D587" s="465" t="s">
        <v>778</v>
      </c>
      <c r="E587" s="466" t="str">
        <f t="shared" si="9"/>
        <v>VC</v>
      </c>
      <c r="F587" s="467">
        <v>2000</v>
      </c>
      <c r="H587" s="467" t="e">
        <v>#N/A</v>
      </c>
    </row>
    <row r="588" spans="1:8" hidden="1">
      <c r="A588" s="463" t="s">
        <v>2371</v>
      </c>
      <c r="B588" s="464" t="s">
        <v>2372</v>
      </c>
      <c r="C588" s="463" t="s">
        <v>2373</v>
      </c>
      <c r="D588" s="465" t="s">
        <v>778</v>
      </c>
      <c r="E588" s="466" t="str">
        <f t="shared" si="9"/>
        <v>VC</v>
      </c>
      <c r="F588" s="467">
        <v>2000</v>
      </c>
      <c r="H588" s="467" t="e">
        <v>#N/A</v>
      </c>
    </row>
    <row r="589" spans="1:8" hidden="1">
      <c r="A589" s="463" t="s">
        <v>2374</v>
      </c>
      <c r="B589" s="464" t="s">
        <v>2375</v>
      </c>
      <c r="C589" s="463" t="s">
        <v>2376</v>
      </c>
      <c r="D589" s="465" t="s">
        <v>778</v>
      </c>
      <c r="E589" s="466" t="str">
        <f t="shared" si="9"/>
        <v>VC</v>
      </c>
      <c r="F589" s="467">
        <v>2000</v>
      </c>
      <c r="H589" s="467" t="e">
        <v>#N/A</v>
      </c>
    </row>
    <row r="590" spans="1:8" hidden="1">
      <c r="A590" s="463" t="s">
        <v>479</v>
      </c>
      <c r="B590" s="464" t="s">
        <v>781</v>
      </c>
      <c r="C590" s="463" t="s">
        <v>782</v>
      </c>
      <c r="D590" s="465" t="s">
        <v>778</v>
      </c>
      <c r="E590" s="466" t="str">
        <f t="shared" si="9"/>
        <v>VC</v>
      </c>
      <c r="F590" s="467">
        <v>2000</v>
      </c>
      <c r="H590" s="467">
        <v>0</v>
      </c>
    </row>
    <row r="591" spans="1:8" hidden="1">
      <c r="A591" s="463" t="s">
        <v>2377</v>
      </c>
      <c r="B591" s="464" t="s">
        <v>2378</v>
      </c>
      <c r="C591" s="463" t="s">
        <v>2379</v>
      </c>
      <c r="D591" s="465" t="s">
        <v>778</v>
      </c>
      <c r="E591" s="466" t="str">
        <f t="shared" ref="E591:E654" si="10">LEFT(A591,2)</f>
        <v>VC</v>
      </c>
      <c r="F591" s="467">
        <v>2000</v>
      </c>
      <c r="H591" s="467" t="e">
        <v>#N/A</v>
      </c>
    </row>
    <row r="592" spans="1:8" hidden="1">
      <c r="A592" s="463" t="s">
        <v>2380</v>
      </c>
      <c r="B592" s="464" t="s">
        <v>2381</v>
      </c>
      <c r="C592" s="463" t="s">
        <v>2382</v>
      </c>
      <c r="D592" s="465" t="s">
        <v>778</v>
      </c>
      <c r="E592" s="466" t="str">
        <f t="shared" si="10"/>
        <v>VC</v>
      </c>
      <c r="F592" s="467">
        <v>2000</v>
      </c>
      <c r="H592" s="467" t="e">
        <v>#N/A</v>
      </c>
    </row>
    <row r="593" spans="1:8" hidden="1">
      <c r="A593" s="463" t="s">
        <v>2383</v>
      </c>
      <c r="B593" s="464" t="s">
        <v>2384</v>
      </c>
      <c r="C593" s="463" t="s">
        <v>2385</v>
      </c>
      <c r="D593" s="465" t="s">
        <v>778</v>
      </c>
      <c r="E593" s="466" t="str">
        <f t="shared" si="10"/>
        <v>VC</v>
      </c>
      <c r="F593" s="467">
        <v>2000</v>
      </c>
      <c r="H593" s="467" t="e">
        <v>#N/A</v>
      </c>
    </row>
    <row r="594" spans="1:8" hidden="1">
      <c r="A594" s="463" t="s">
        <v>2386</v>
      </c>
      <c r="B594" s="464" t="s">
        <v>2387</v>
      </c>
      <c r="C594" s="463" t="s">
        <v>2388</v>
      </c>
      <c r="D594" s="465" t="s">
        <v>416</v>
      </c>
      <c r="E594" s="466" t="str">
        <f t="shared" si="10"/>
        <v>VC</v>
      </c>
      <c r="F594" s="467">
        <v>2000</v>
      </c>
      <c r="H594" s="467" t="e">
        <v>#N/A</v>
      </c>
    </row>
    <row r="595" spans="1:8" hidden="1">
      <c r="A595" s="463" t="s">
        <v>2389</v>
      </c>
      <c r="B595" s="464" t="s">
        <v>2390</v>
      </c>
      <c r="C595" s="463" t="s">
        <v>2391</v>
      </c>
      <c r="D595" s="465" t="s">
        <v>416</v>
      </c>
      <c r="E595" s="466" t="str">
        <f t="shared" si="10"/>
        <v>VC</v>
      </c>
      <c r="F595" s="467">
        <v>2000</v>
      </c>
      <c r="H595" s="467" t="e">
        <v>#N/A</v>
      </c>
    </row>
    <row r="596" spans="1:8" hidden="1">
      <c r="A596" s="463" t="s">
        <v>2392</v>
      </c>
      <c r="B596" s="464" t="s">
        <v>2393</v>
      </c>
      <c r="C596" s="463" t="s">
        <v>2394</v>
      </c>
      <c r="D596" s="465" t="s">
        <v>416</v>
      </c>
      <c r="E596" s="466" t="str">
        <f t="shared" si="10"/>
        <v>VC</v>
      </c>
      <c r="F596" s="467">
        <v>2000</v>
      </c>
      <c r="H596" s="467" t="e">
        <v>#N/A</v>
      </c>
    </row>
    <row r="597" spans="1:8" hidden="1">
      <c r="A597" s="463" t="s">
        <v>2395</v>
      </c>
      <c r="B597" s="464" t="s">
        <v>2396</v>
      </c>
      <c r="C597" s="463" t="s">
        <v>2397</v>
      </c>
      <c r="D597" s="465" t="s">
        <v>416</v>
      </c>
      <c r="E597" s="466" t="str">
        <f t="shared" si="10"/>
        <v>VC</v>
      </c>
      <c r="F597" s="467">
        <v>2000</v>
      </c>
      <c r="H597" s="467" t="e">
        <v>#N/A</v>
      </c>
    </row>
    <row r="598" spans="1:8" hidden="1">
      <c r="A598" s="463" t="s">
        <v>2398</v>
      </c>
      <c r="B598" s="464" t="s">
        <v>2399</v>
      </c>
      <c r="C598" s="463" t="s">
        <v>2400</v>
      </c>
      <c r="D598" s="465" t="s">
        <v>416</v>
      </c>
      <c r="E598" s="466" t="str">
        <f t="shared" si="10"/>
        <v>VC</v>
      </c>
      <c r="F598" s="467">
        <v>2000</v>
      </c>
      <c r="H598" s="467" t="e">
        <v>#N/A</v>
      </c>
    </row>
    <row r="599" spans="1:8" hidden="1">
      <c r="A599" s="463" t="s">
        <v>2401</v>
      </c>
      <c r="B599" s="464" t="s">
        <v>2402</v>
      </c>
      <c r="C599" s="463" t="s">
        <v>2403</v>
      </c>
      <c r="D599" s="465" t="s">
        <v>416</v>
      </c>
      <c r="E599" s="466" t="str">
        <f t="shared" si="10"/>
        <v>VC</v>
      </c>
      <c r="F599" s="467">
        <v>2000</v>
      </c>
      <c r="H599" s="467" t="e">
        <v>#N/A</v>
      </c>
    </row>
    <row r="600" spans="1:8" hidden="1">
      <c r="A600" s="463" t="s">
        <v>2404</v>
      </c>
      <c r="B600" s="464" t="s">
        <v>2405</v>
      </c>
      <c r="C600" s="463" t="s">
        <v>2406</v>
      </c>
      <c r="D600" s="465" t="s">
        <v>416</v>
      </c>
      <c r="E600" s="466" t="str">
        <f t="shared" si="10"/>
        <v>VC</v>
      </c>
      <c r="F600" s="467">
        <v>2000</v>
      </c>
      <c r="H600" s="467" t="e">
        <v>#N/A</v>
      </c>
    </row>
    <row r="601" spans="1:8" hidden="1">
      <c r="A601" s="463" t="s">
        <v>2407</v>
      </c>
      <c r="B601" s="464" t="s">
        <v>2408</v>
      </c>
      <c r="C601" s="463" t="s">
        <v>2409</v>
      </c>
      <c r="D601" s="465" t="s">
        <v>416</v>
      </c>
      <c r="E601" s="466" t="str">
        <f t="shared" si="10"/>
        <v>VC</v>
      </c>
      <c r="F601" s="467">
        <v>2000</v>
      </c>
      <c r="H601" s="467" t="e">
        <v>#N/A</v>
      </c>
    </row>
    <row r="602" spans="1:8" hidden="1">
      <c r="A602" s="463" t="s">
        <v>476</v>
      </c>
      <c r="B602" s="464" t="s">
        <v>2410</v>
      </c>
      <c r="C602" s="463" t="s">
        <v>2411</v>
      </c>
      <c r="D602" s="465" t="s">
        <v>778</v>
      </c>
      <c r="E602" s="466" t="str">
        <f t="shared" si="10"/>
        <v>VC</v>
      </c>
      <c r="F602" s="467">
        <v>2000</v>
      </c>
      <c r="H602" s="467">
        <v>0</v>
      </c>
    </row>
    <row r="603" spans="1:8" hidden="1">
      <c r="A603" s="463" t="s">
        <v>2412</v>
      </c>
      <c r="B603" s="464" t="s">
        <v>2413</v>
      </c>
      <c r="C603" s="463" t="s">
        <v>2414</v>
      </c>
      <c r="D603" s="465" t="s">
        <v>778</v>
      </c>
      <c r="E603" s="466" t="str">
        <f t="shared" si="10"/>
        <v>VC</v>
      </c>
      <c r="F603" s="467">
        <v>2000</v>
      </c>
      <c r="H603" s="467" t="e">
        <v>#N/A</v>
      </c>
    </row>
    <row r="604" spans="1:8" hidden="1">
      <c r="A604" s="463" t="s">
        <v>2415</v>
      </c>
      <c r="B604" s="464" t="s">
        <v>2416</v>
      </c>
      <c r="C604" s="463" t="s">
        <v>2417</v>
      </c>
      <c r="D604" s="465" t="s">
        <v>778</v>
      </c>
      <c r="E604" s="466" t="str">
        <f t="shared" si="10"/>
        <v>VC</v>
      </c>
      <c r="F604" s="467">
        <v>2000</v>
      </c>
      <c r="H604" s="467" t="e">
        <v>#N/A</v>
      </c>
    </row>
    <row r="605" spans="1:8" hidden="1">
      <c r="A605" s="463" t="s">
        <v>2418</v>
      </c>
      <c r="B605" s="464" t="s">
        <v>2419</v>
      </c>
      <c r="C605" s="463" t="s">
        <v>2420</v>
      </c>
      <c r="D605" s="465" t="s">
        <v>778</v>
      </c>
      <c r="E605" s="466" t="str">
        <f t="shared" si="10"/>
        <v>VC</v>
      </c>
      <c r="F605" s="467">
        <v>2000</v>
      </c>
      <c r="H605" s="467" t="e">
        <v>#N/A</v>
      </c>
    </row>
    <row r="606" spans="1:8" hidden="1">
      <c r="A606" s="463" t="s">
        <v>478</v>
      </c>
      <c r="B606" s="464" t="s">
        <v>2421</v>
      </c>
      <c r="C606" s="463" t="s">
        <v>2422</v>
      </c>
      <c r="D606" s="465" t="s">
        <v>1808</v>
      </c>
      <c r="E606" s="466" t="str">
        <f t="shared" si="10"/>
        <v>VC</v>
      </c>
      <c r="F606" s="467">
        <v>2000</v>
      </c>
      <c r="H606" s="467">
        <v>0</v>
      </c>
    </row>
    <row r="607" spans="1:8" hidden="1">
      <c r="A607" s="463" t="s">
        <v>2423</v>
      </c>
      <c r="B607" s="464" t="s">
        <v>2424</v>
      </c>
      <c r="C607" s="463" t="s">
        <v>2425</v>
      </c>
      <c r="D607" s="465" t="s">
        <v>1808</v>
      </c>
      <c r="E607" s="466" t="str">
        <f t="shared" si="10"/>
        <v>VC</v>
      </c>
      <c r="F607" s="467">
        <v>2000</v>
      </c>
      <c r="H607" s="467" t="e">
        <v>#N/A</v>
      </c>
    </row>
    <row r="608" spans="1:8" hidden="1">
      <c r="A608" s="463" t="s">
        <v>2426</v>
      </c>
      <c r="B608" s="464" t="s">
        <v>2427</v>
      </c>
      <c r="C608" s="463" t="s">
        <v>2428</v>
      </c>
      <c r="D608" s="465" t="s">
        <v>1808</v>
      </c>
      <c r="E608" s="466" t="str">
        <f t="shared" si="10"/>
        <v>VC</v>
      </c>
      <c r="F608" s="467">
        <v>2000</v>
      </c>
      <c r="H608" s="467" t="e">
        <v>#N/A</v>
      </c>
    </row>
    <row r="609" spans="1:8" hidden="1">
      <c r="A609" s="463" t="s">
        <v>2429</v>
      </c>
      <c r="B609" s="464" t="s">
        <v>2430</v>
      </c>
      <c r="C609" s="463" t="s">
        <v>2431</v>
      </c>
      <c r="D609" s="465" t="s">
        <v>1808</v>
      </c>
      <c r="E609" s="466" t="str">
        <f t="shared" si="10"/>
        <v>VC</v>
      </c>
      <c r="F609" s="467">
        <v>2000</v>
      </c>
      <c r="H609" s="467" t="e">
        <v>#N/A</v>
      </c>
    </row>
    <row r="610" spans="1:8" s="478" customFormat="1" hidden="1">
      <c r="A610" s="489" t="s">
        <v>2432</v>
      </c>
      <c r="B610" s="490" t="s">
        <v>2433</v>
      </c>
      <c r="C610" s="489" t="s">
        <v>2434</v>
      </c>
      <c r="D610" s="491" t="s">
        <v>1808</v>
      </c>
      <c r="E610" s="466" t="str">
        <f t="shared" si="10"/>
        <v>VC</v>
      </c>
      <c r="F610" s="467">
        <v>2000</v>
      </c>
      <c r="H610" s="467" t="e">
        <v>#N/A</v>
      </c>
    </row>
    <row r="611" spans="1:8" s="478" customFormat="1" hidden="1">
      <c r="A611" s="489" t="s">
        <v>2435</v>
      </c>
      <c r="B611" s="490" t="s">
        <v>2436</v>
      </c>
      <c r="C611" s="489" t="s">
        <v>2437</v>
      </c>
      <c r="D611" s="491" t="s">
        <v>1808</v>
      </c>
      <c r="E611" s="466" t="str">
        <f t="shared" si="10"/>
        <v>VC</v>
      </c>
      <c r="F611" s="467">
        <v>2000</v>
      </c>
      <c r="H611" s="467" t="e">
        <v>#N/A</v>
      </c>
    </row>
    <row r="612" spans="1:8" s="478" customFormat="1" hidden="1">
      <c r="A612" s="489" t="s">
        <v>2438</v>
      </c>
      <c r="B612" s="490" t="s">
        <v>2439</v>
      </c>
      <c r="C612" s="489" t="s">
        <v>2440</v>
      </c>
      <c r="D612" s="491" t="s">
        <v>1808</v>
      </c>
      <c r="E612" s="466" t="str">
        <f t="shared" si="10"/>
        <v>VC</v>
      </c>
      <c r="F612" s="467">
        <v>2000</v>
      </c>
      <c r="H612" s="467" t="e">
        <v>#N/A</v>
      </c>
    </row>
    <row r="613" spans="1:8" s="478" customFormat="1" hidden="1">
      <c r="A613" s="489" t="s">
        <v>2441</v>
      </c>
      <c r="B613" s="490" t="s">
        <v>2442</v>
      </c>
      <c r="C613" s="489" t="s">
        <v>2443</v>
      </c>
      <c r="D613" s="491" t="s">
        <v>1808</v>
      </c>
      <c r="E613" s="466" t="str">
        <f t="shared" si="10"/>
        <v>VC</v>
      </c>
      <c r="F613" s="467">
        <v>2000</v>
      </c>
      <c r="H613" s="467" t="e">
        <v>#N/A</v>
      </c>
    </row>
    <row r="614" spans="1:8" s="478" customFormat="1" hidden="1">
      <c r="A614" s="489" t="s">
        <v>2444</v>
      </c>
      <c r="B614" s="490" t="s">
        <v>2445</v>
      </c>
      <c r="C614" s="489" t="s">
        <v>2446</v>
      </c>
      <c r="D614" s="491" t="s">
        <v>1808</v>
      </c>
      <c r="E614" s="466" t="str">
        <f t="shared" si="10"/>
        <v>VC</v>
      </c>
      <c r="F614" s="467">
        <v>2000</v>
      </c>
      <c r="H614" s="467" t="e">
        <v>#N/A</v>
      </c>
    </row>
    <row r="615" spans="1:8" s="478" customFormat="1" hidden="1">
      <c r="A615" s="489" t="s">
        <v>2447</v>
      </c>
      <c r="B615" s="490" t="s">
        <v>2448</v>
      </c>
      <c r="C615" s="489" t="s">
        <v>2449</v>
      </c>
      <c r="D615" s="491" t="s">
        <v>1808</v>
      </c>
      <c r="E615" s="466" t="str">
        <f t="shared" si="10"/>
        <v>VC</v>
      </c>
      <c r="F615" s="467">
        <v>2000</v>
      </c>
      <c r="H615" s="467" t="e">
        <v>#N/A</v>
      </c>
    </row>
    <row r="616" spans="1:8" s="478" customFormat="1" hidden="1">
      <c r="A616" s="489" t="s">
        <v>2450</v>
      </c>
      <c r="B616" s="490" t="s">
        <v>2451</v>
      </c>
      <c r="C616" s="489" t="s">
        <v>2452</v>
      </c>
      <c r="D616" s="491" t="s">
        <v>1808</v>
      </c>
      <c r="E616" s="466" t="str">
        <f t="shared" si="10"/>
        <v>VC</v>
      </c>
      <c r="F616" s="467">
        <v>2000</v>
      </c>
      <c r="H616" s="467" t="e">
        <v>#N/A</v>
      </c>
    </row>
    <row r="617" spans="1:8" s="478" customFormat="1" hidden="1">
      <c r="A617" s="489" t="s">
        <v>2453</v>
      </c>
      <c r="B617" s="490" t="s">
        <v>2454</v>
      </c>
      <c r="C617" s="489" t="s">
        <v>2455</v>
      </c>
      <c r="D617" s="491" t="s">
        <v>1808</v>
      </c>
      <c r="E617" s="466" t="str">
        <f t="shared" si="10"/>
        <v>VC</v>
      </c>
      <c r="F617" s="467">
        <v>2000</v>
      </c>
      <c r="H617" s="467" t="e">
        <v>#N/A</v>
      </c>
    </row>
    <row r="618" spans="1:8" hidden="1">
      <c r="A618" s="489" t="s">
        <v>477</v>
      </c>
      <c r="B618" s="490" t="s">
        <v>2456</v>
      </c>
      <c r="C618" s="489" t="s">
        <v>2457</v>
      </c>
      <c r="D618" s="491" t="s">
        <v>1808</v>
      </c>
      <c r="E618" s="466" t="str">
        <f t="shared" si="10"/>
        <v>VC</v>
      </c>
      <c r="F618" s="467">
        <v>2000</v>
      </c>
      <c r="H618" s="467">
        <v>0</v>
      </c>
    </row>
    <row r="619" spans="1:8" hidden="1">
      <c r="A619" s="489" t="s">
        <v>2458</v>
      </c>
      <c r="B619" s="490" t="s">
        <v>2459</v>
      </c>
      <c r="C619" s="489" t="s">
        <v>2460</v>
      </c>
      <c r="D619" s="491" t="s">
        <v>1808</v>
      </c>
      <c r="E619" s="466" t="str">
        <f t="shared" si="10"/>
        <v>VC</v>
      </c>
      <c r="F619" s="467">
        <v>2000</v>
      </c>
      <c r="H619" s="467" t="e">
        <v>#N/A</v>
      </c>
    </row>
    <row r="620" spans="1:8" hidden="1">
      <c r="A620" s="489" t="s">
        <v>2461</v>
      </c>
      <c r="B620" s="490" t="s">
        <v>2462</v>
      </c>
      <c r="C620" s="489" t="s">
        <v>2463</v>
      </c>
      <c r="D620" s="491" t="s">
        <v>1808</v>
      </c>
      <c r="E620" s="466" t="str">
        <f t="shared" si="10"/>
        <v>VC</v>
      </c>
      <c r="F620" s="467">
        <v>2000</v>
      </c>
      <c r="H620" s="467" t="e">
        <v>#N/A</v>
      </c>
    </row>
    <row r="621" spans="1:8" hidden="1">
      <c r="A621" s="489" t="s">
        <v>2464</v>
      </c>
      <c r="B621" s="490" t="s">
        <v>2465</v>
      </c>
      <c r="C621" s="489" t="s">
        <v>2466</v>
      </c>
      <c r="D621" s="491" t="s">
        <v>1808</v>
      </c>
      <c r="E621" s="466" t="str">
        <f t="shared" si="10"/>
        <v>VC</v>
      </c>
      <c r="F621" s="467">
        <v>2000</v>
      </c>
      <c r="H621" s="467" t="e">
        <v>#N/A</v>
      </c>
    </row>
    <row r="622" spans="1:8" hidden="1">
      <c r="A622" s="463" t="s">
        <v>2467</v>
      </c>
      <c r="B622" s="464" t="s">
        <v>2332</v>
      </c>
      <c r="C622" s="463" t="s">
        <v>2468</v>
      </c>
      <c r="D622" s="465" t="s">
        <v>778</v>
      </c>
      <c r="E622" s="466" t="str">
        <f t="shared" si="10"/>
        <v>VC</v>
      </c>
      <c r="F622" s="467">
        <v>2000</v>
      </c>
      <c r="H622" s="467" t="e">
        <v>#N/A</v>
      </c>
    </row>
    <row r="623" spans="1:8" hidden="1">
      <c r="A623" s="463" t="s">
        <v>2469</v>
      </c>
      <c r="B623" s="464" t="s">
        <v>2335</v>
      </c>
      <c r="C623" s="463" t="s">
        <v>2470</v>
      </c>
      <c r="D623" s="465" t="s">
        <v>778</v>
      </c>
      <c r="E623" s="466" t="str">
        <f t="shared" si="10"/>
        <v>VC</v>
      </c>
      <c r="F623" s="467">
        <v>2000</v>
      </c>
      <c r="H623" s="467" t="e">
        <v>#N/A</v>
      </c>
    </row>
    <row r="624" spans="1:8" hidden="1">
      <c r="A624" s="463" t="s">
        <v>2471</v>
      </c>
      <c r="B624" s="464" t="s">
        <v>2338</v>
      </c>
      <c r="C624" s="463" t="s">
        <v>2472</v>
      </c>
      <c r="D624" s="465" t="s">
        <v>778</v>
      </c>
      <c r="E624" s="466" t="str">
        <f t="shared" si="10"/>
        <v>VC</v>
      </c>
      <c r="F624" s="467">
        <v>2000</v>
      </c>
      <c r="H624" s="467" t="e">
        <v>#N/A</v>
      </c>
    </row>
    <row r="625" spans="1:8" hidden="1">
      <c r="A625" s="463" t="s">
        <v>2473</v>
      </c>
      <c r="B625" s="464" t="s">
        <v>2341</v>
      </c>
      <c r="C625" s="463" t="s">
        <v>2474</v>
      </c>
      <c r="D625" s="465" t="s">
        <v>778</v>
      </c>
      <c r="E625" s="466" t="str">
        <f t="shared" si="10"/>
        <v>VC</v>
      </c>
      <c r="F625" s="467">
        <v>2000</v>
      </c>
      <c r="H625" s="467" t="e">
        <v>#N/A</v>
      </c>
    </row>
    <row r="626" spans="1:8" hidden="1">
      <c r="A626" s="463" t="s">
        <v>507</v>
      </c>
      <c r="B626" s="464" t="s">
        <v>2475</v>
      </c>
      <c r="C626" s="463" t="s">
        <v>2476</v>
      </c>
      <c r="D626" s="465" t="s">
        <v>778</v>
      </c>
      <c r="E626" s="466" t="str">
        <f t="shared" si="10"/>
        <v>BO</v>
      </c>
      <c r="F626" s="467">
        <v>2000</v>
      </c>
      <c r="H626" s="467">
        <v>0</v>
      </c>
    </row>
    <row r="627" spans="1:8" hidden="1">
      <c r="A627" s="463" t="s">
        <v>2477</v>
      </c>
      <c r="B627" s="464" t="s">
        <v>2478</v>
      </c>
      <c r="C627" s="463" t="s">
        <v>2479</v>
      </c>
      <c r="D627" s="465" t="s">
        <v>778</v>
      </c>
      <c r="E627" s="466" t="str">
        <f t="shared" si="10"/>
        <v>BO</v>
      </c>
      <c r="F627" s="467">
        <v>2000</v>
      </c>
      <c r="H627" s="467">
        <v>0</v>
      </c>
    </row>
    <row r="628" spans="1:8" hidden="1">
      <c r="A628" s="463" t="s">
        <v>2480</v>
      </c>
      <c r="B628" s="464" t="s">
        <v>2481</v>
      </c>
      <c r="C628" s="463" t="s">
        <v>2482</v>
      </c>
      <c r="D628" s="465" t="s">
        <v>778</v>
      </c>
      <c r="E628" s="466" t="str">
        <f t="shared" si="10"/>
        <v>BO</v>
      </c>
      <c r="F628" s="467">
        <v>2000</v>
      </c>
      <c r="H628" s="467">
        <v>0.2</v>
      </c>
    </row>
    <row r="629" spans="1:8" hidden="1">
      <c r="A629" s="463" t="s">
        <v>2483</v>
      </c>
      <c r="B629" s="464" t="s">
        <v>2484</v>
      </c>
      <c r="C629" s="463" t="s">
        <v>777</v>
      </c>
      <c r="D629" s="465" t="s">
        <v>778</v>
      </c>
      <c r="E629" s="466" t="str">
        <f t="shared" si="10"/>
        <v>BO</v>
      </c>
      <c r="F629" s="467">
        <v>2000</v>
      </c>
      <c r="H629" s="467">
        <v>0</v>
      </c>
    </row>
    <row r="630" spans="1:8" hidden="1">
      <c r="A630" s="463" t="s">
        <v>2485</v>
      </c>
      <c r="B630" s="464" t="s">
        <v>2486</v>
      </c>
      <c r="C630" s="463" t="s">
        <v>2487</v>
      </c>
      <c r="D630" s="465" t="s">
        <v>778</v>
      </c>
      <c r="E630" s="466" t="str">
        <f t="shared" si="10"/>
        <v>BO</v>
      </c>
      <c r="F630" s="467">
        <v>2000</v>
      </c>
      <c r="H630" s="467">
        <v>0</v>
      </c>
    </row>
    <row r="631" spans="1:8" hidden="1">
      <c r="A631" s="463" t="s">
        <v>2488</v>
      </c>
      <c r="B631" s="464" t="s">
        <v>2489</v>
      </c>
      <c r="C631" s="463" t="s">
        <v>2490</v>
      </c>
      <c r="D631" s="465" t="s">
        <v>778</v>
      </c>
      <c r="E631" s="466" t="str">
        <f t="shared" si="10"/>
        <v>BO</v>
      </c>
      <c r="F631" s="467">
        <v>2000</v>
      </c>
      <c r="H631" s="467">
        <v>0</v>
      </c>
    </row>
    <row r="632" spans="1:8" hidden="1">
      <c r="A632" s="463" t="s">
        <v>2491</v>
      </c>
      <c r="B632" s="464" t="s">
        <v>2492</v>
      </c>
      <c r="C632" s="463" t="s">
        <v>2493</v>
      </c>
      <c r="D632" s="465" t="s">
        <v>778</v>
      </c>
      <c r="E632" s="466" t="str">
        <f t="shared" si="10"/>
        <v>BO</v>
      </c>
      <c r="F632" s="467">
        <v>2000</v>
      </c>
      <c r="H632" s="467" t="e">
        <v>#N/A</v>
      </c>
    </row>
    <row r="633" spans="1:8" hidden="1">
      <c r="A633" s="463" t="s">
        <v>2494</v>
      </c>
      <c r="B633" s="464" t="s">
        <v>2495</v>
      </c>
      <c r="C633" s="463" t="s">
        <v>2496</v>
      </c>
      <c r="D633" s="465" t="s">
        <v>778</v>
      </c>
      <c r="E633" s="466" t="str">
        <f t="shared" si="10"/>
        <v>BO</v>
      </c>
      <c r="F633" s="467">
        <v>2000</v>
      </c>
      <c r="H633" s="467" t="e">
        <v>#N/A</v>
      </c>
    </row>
    <row r="634" spans="1:8" hidden="1">
      <c r="A634" s="463" t="s">
        <v>472</v>
      </c>
      <c r="B634" s="464" t="s">
        <v>2497</v>
      </c>
      <c r="C634" s="463" t="s">
        <v>2498</v>
      </c>
      <c r="D634" s="465" t="s">
        <v>778</v>
      </c>
      <c r="E634" s="466" t="str">
        <f t="shared" si="10"/>
        <v>BO</v>
      </c>
      <c r="F634" s="467">
        <v>2000</v>
      </c>
      <c r="H634" s="467">
        <v>0</v>
      </c>
    </row>
    <row r="635" spans="1:8" hidden="1">
      <c r="A635" s="463" t="s">
        <v>473</v>
      </c>
      <c r="B635" s="464" t="s">
        <v>2499</v>
      </c>
      <c r="C635" s="463" t="s">
        <v>2500</v>
      </c>
      <c r="D635" s="465" t="s">
        <v>1808</v>
      </c>
      <c r="E635" s="466" t="str">
        <f t="shared" si="10"/>
        <v>BO</v>
      </c>
      <c r="F635" s="467">
        <v>2000</v>
      </c>
      <c r="H635" s="467">
        <v>0</v>
      </c>
    </row>
    <row r="636" spans="1:8" hidden="1">
      <c r="A636" s="463" t="s">
        <v>474</v>
      </c>
      <c r="B636" s="464" t="s">
        <v>590</v>
      </c>
      <c r="C636" s="463" t="s">
        <v>2501</v>
      </c>
      <c r="D636" s="465" t="s">
        <v>1808</v>
      </c>
      <c r="E636" s="466" t="str">
        <f t="shared" si="10"/>
        <v>BO</v>
      </c>
      <c r="F636" s="467">
        <v>2000</v>
      </c>
      <c r="H636" s="467">
        <v>0</v>
      </c>
    </row>
    <row r="637" spans="1:8" hidden="1">
      <c r="A637" s="463" t="s">
        <v>2502</v>
      </c>
      <c r="B637" s="464" t="s">
        <v>2503</v>
      </c>
      <c r="C637" s="463" t="s">
        <v>2504</v>
      </c>
      <c r="D637" s="465" t="s">
        <v>1808</v>
      </c>
      <c r="E637" s="466" t="str">
        <f t="shared" si="10"/>
        <v>BO</v>
      </c>
      <c r="F637" s="467">
        <v>2000</v>
      </c>
      <c r="H637" s="467" t="e">
        <v>#N/A</v>
      </c>
    </row>
    <row r="638" spans="1:8" hidden="1">
      <c r="A638" s="463" t="s">
        <v>512</v>
      </c>
      <c r="B638" s="464" t="s">
        <v>2505</v>
      </c>
      <c r="C638" s="463" t="s">
        <v>2506</v>
      </c>
      <c r="D638" s="465" t="s">
        <v>416</v>
      </c>
      <c r="E638" s="466" t="str">
        <f t="shared" si="10"/>
        <v>BO</v>
      </c>
      <c r="F638" s="467">
        <v>2000</v>
      </c>
      <c r="H638" s="467">
        <v>42</v>
      </c>
    </row>
    <row r="639" spans="1:8" hidden="1">
      <c r="A639" s="463" t="s">
        <v>602</v>
      </c>
      <c r="B639" s="464" t="s">
        <v>2507</v>
      </c>
      <c r="C639" s="463" t="s">
        <v>2508</v>
      </c>
      <c r="D639" s="465" t="s">
        <v>411</v>
      </c>
      <c r="E639" s="466" t="str">
        <f t="shared" si="10"/>
        <v>KT</v>
      </c>
      <c r="F639" s="467">
        <v>2000</v>
      </c>
      <c r="H639" s="467">
        <v>3.36</v>
      </c>
    </row>
    <row r="640" spans="1:8" hidden="1">
      <c r="A640" s="463" t="s">
        <v>2509</v>
      </c>
      <c r="B640" s="464" t="s">
        <v>2510</v>
      </c>
      <c r="C640" s="463" t="s">
        <v>2511</v>
      </c>
      <c r="D640" s="465" t="s">
        <v>411</v>
      </c>
      <c r="E640" s="466" t="str">
        <f t="shared" si="10"/>
        <v>KT</v>
      </c>
      <c r="F640" s="467">
        <v>2000</v>
      </c>
      <c r="H640" s="467" t="s">
        <v>411</v>
      </c>
    </row>
    <row r="641" spans="1:8" hidden="1">
      <c r="A641" s="463" t="s">
        <v>603</v>
      </c>
      <c r="B641" s="526" t="s">
        <v>2512</v>
      </c>
      <c r="C641" s="463" t="s">
        <v>2513</v>
      </c>
      <c r="D641" s="465" t="s">
        <v>1736</v>
      </c>
      <c r="E641" s="466" t="str">
        <f t="shared" si="10"/>
        <v>DC</v>
      </c>
      <c r="F641" s="467">
        <v>2000</v>
      </c>
      <c r="H641" s="467">
        <v>1</v>
      </c>
    </row>
    <row r="642" spans="1:8" hidden="1">
      <c r="A642" s="463" t="s">
        <v>2514</v>
      </c>
      <c r="B642" s="464" t="s">
        <v>2515</v>
      </c>
      <c r="C642" s="463" t="s">
        <v>2516</v>
      </c>
      <c r="D642" s="465" t="s">
        <v>1736</v>
      </c>
      <c r="E642" s="466" t="str">
        <f t="shared" si="10"/>
        <v>DC</v>
      </c>
      <c r="F642" s="467">
        <v>2000</v>
      </c>
      <c r="H642" s="467" t="e">
        <v>#N/A</v>
      </c>
    </row>
    <row r="643" spans="1:8" hidden="1">
      <c r="A643" s="463" t="s">
        <v>2517</v>
      </c>
      <c r="B643" s="464" t="s">
        <v>2518</v>
      </c>
      <c r="C643" s="463" t="s">
        <v>2519</v>
      </c>
      <c r="D643" s="465" t="s">
        <v>1736</v>
      </c>
      <c r="E643" s="466" t="str">
        <f t="shared" si="10"/>
        <v>DC</v>
      </c>
      <c r="F643" s="467">
        <v>2000</v>
      </c>
      <c r="H643" s="467" t="s">
        <v>1736</v>
      </c>
    </row>
    <row r="644" spans="1:8" hidden="1">
      <c r="A644" s="494" t="s">
        <v>2520</v>
      </c>
      <c r="B644" s="493" t="s">
        <v>2521</v>
      </c>
      <c r="C644" s="494" t="s">
        <v>2522</v>
      </c>
      <c r="D644" s="495" t="s">
        <v>408</v>
      </c>
      <c r="E644" s="466" t="str">
        <f t="shared" si="10"/>
        <v>C8</v>
      </c>
      <c r="F644" s="467">
        <v>2000</v>
      </c>
      <c r="H644" s="467" t="e">
        <v>#N/A</v>
      </c>
    </row>
    <row r="645" spans="1:8" hidden="1">
      <c r="A645" s="494" t="s">
        <v>2523</v>
      </c>
      <c r="B645" s="493" t="s">
        <v>2524</v>
      </c>
      <c r="C645" s="494" t="s">
        <v>2525</v>
      </c>
      <c r="D645" s="495" t="s">
        <v>408</v>
      </c>
      <c r="E645" s="466" t="str">
        <f t="shared" si="10"/>
        <v>C1</v>
      </c>
      <c r="F645" s="467">
        <v>2000</v>
      </c>
      <c r="H645" s="467" t="e">
        <v>#N/A</v>
      </c>
    </row>
    <row r="646" spans="1:8" hidden="1">
      <c r="A646" s="494" t="s">
        <v>2526</v>
      </c>
      <c r="B646" s="493" t="s">
        <v>2527</v>
      </c>
      <c r="C646" s="494" t="s">
        <v>2528</v>
      </c>
      <c r="D646" s="495" t="s">
        <v>408</v>
      </c>
      <c r="E646" s="466" t="str">
        <f t="shared" si="10"/>
        <v>C1</v>
      </c>
      <c r="F646" s="467">
        <v>2000</v>
      </c>
      <c r="H646" s="467" t="e">
        <v>#N/A</v>
      </c>
    </row>
    <row r="647" spans="1:8">
      <c r="A647" s="494" t="s">
        <v>685</v>
      </c>
      <c r="B647" s="493" t="s">
        <v>2527</v>
      </c>
      <c r="C647" s="494" t="s">
        <v>2529</v>
      </c>
      <c r="D647" s="495" t="s">
        <v>408</v>
      </c>
      <c r="E647" s="466" t="str">
        <f t="shared" si="10"/>
        <v>C1</v>
      </c>
      <c r="F647" s="467">
        <v>2000</v>
      </c>
      <c r="H647" s="467">
        <v>1</v>
      </c>
    </row>
    <row r="648" spans="1:8" hidden="1">
      <c r="A648" s="525" t="s">
        <v>2530</v>
      </c>
      <c r="B648" s="493" t="s">
        <v>2531</v>
      </c>
      <c r="C648" s="494" t="s">
        <v>2532</v>
      </c>
      <c r="D648" s="495" t="s">
        <v>408</v>
      </c>
      <c r="E648" s="466" t="str">
        <f t="shared" si="10"/>
        <v>C1</v>
      </c>
      <c r="F648" s="467">
        <v>2000</v>
      </c>
      <c r="H648" s="467" t="e">
        <v>#N/A</v>
      </c>
    </row>
    <row r="649" spans="1:8" hidden="1">
      <c r="A649" s="494" t="s">
        <v>2533</v>
      </c>
      <c r="B649" s="493" t="s">
        <v>2534</v>
      </c>
      <c r="C649" s="494" t="s">
        <v>2535</v>
      </c>
      <c r="D649" s="495" t="s">
        <v>408</v>
      </c>
      <c r="E649" s="466" t="str">
        <f t="shared" si="10"/>
        <v>C2</v>
      </c>
      <c r="F649" s="467">
        <v>2000</v>
      </c>
      <c r="H649" s="467" t="e">
        <v>#N/A</v>
      </c>
    </row>
    <row r="650" spans="1:8" hidden="1">
      <c r="A650" s="494" t="s">
        <v>662</v>
      </c>
      <c r="B650" s="527" t="s">
        <v>2536</v>
      </c>
      <c r="C650" s="494" t="s">
        <v>2537</v>
      </c>
      <c r="D650" s="495" t="s">
        <v>408</v>
      </c>
      <c r="E650" s="466" t="str">
        <f t="shared" si="10"/>
        <v>C8</v>
      </c>
      <c r="F650" s="467">
        <v>2000</v>
      </c>
      <c r="H650" s="467">
        <v>1</v>
      </c>
    </row>
    <row r="651" spans="1:8" hidden="1">
      <c r="A651" s="494" t="s">
        <v>666</v>
      </c>
      <c r="B651" s="527" t="s">
        <v>2538</v>
      </c>
      <c r="C651" s="494" t="s">
        <v>2539</v>
      </c>
      <c r="D651" s="495" t="s">
        <v>408</v>
      </c>
      <c r="E651" s="466" t="str">
        <f t="shared" si="10"/>
        <v>C1</v>
      </c>
      <c r="F651" s="467">
        <v>2000</v>
      </c>
      <c r="H651" s="467">
        <v>1</v>
      </c>
    </row>
    <row r="652" spans="1:8" hidden="1">
      <c r="A652" s="494" t="s">
        <v>678</v>
      </c>
      <c r="B652" s="527" t="s">
        <v>2540</v>
      </c>
      <c r="C652" s="494" t="s">
        <v>2541</v>
      </c>
      <c r="D652" s="495" t="s">
        <v>408</v>
      </c>
      <c r="E652" s="466" t="str">
        <f t="shared" si="10"/>
        <v>C1</v>
      </c>
      <c r="F652" s="467">
        <v>2000</v>
      </c>
      <c r="H652" s="467">
        <v>1</v>
      </c>
    </row>
    <row r="653" spans="1:8">
      <c r="A653" s="494" t="s">
        <v>688</v>
      </c>
      <c r="B653" s="493" t="s">
        <v>2540</v>
      </c>
      <c r="C653" s="494" t="s">
        <v>2542</v>
      </c>
      <c r="D653" s="495" t="s">
        <v>408</v>
      </c>
      <c r="E653" s="466" t="str">
        <f t="shared" si="10"/>
        <v>C1</v>
      </c>
      <c r="F653" s="467">
        <v>2000</v>
      </c>
      <c r="H653" s="467">
        <v>1</v>
      </c>
    </row>
    <row r="654" spans="1:8" hidden="1">
      <c r="A654" s="525" t="s">
        <v>695</v>
      </c>
      <c r="B654" s="493" t="s">
        <v>2543</v>
      </c>
      <c r="C654" s="494" t="s">
        <v>2544</v>
      </c>
      <c r="D654" s="495" t="s">
        <v>408</v>
      </c>
      <c r="E654" s="466" t="str">
        <f t="shared" si="10"/>
        <v>C1</v>
      </c>
      <c r="F654" s="467">
        <v>2000</v>
      </c>
      <c r="H654" s="467">
        <v>1</v>
      </c>
    </row>
    <row r="655" spans="1:8" hidden="1">
      <c r="A655" s="494" t="s">
        <v>699</v>
      </c>
      <c r="B655" s="493" t="s">
        <v>2545</v>
      </c>
      <c r="C655" s="494" t="s">
        <v>2546</v>
      </c>
      <c r="D655" s="495" t="s">
        <v>408</v>
      </c>
      <c r="E655" s="466" t="str">
        <f t="shared" ref="E655:E718" si="11">LEFT(A655,2)</f>
        <v>C2</v>
      </c>
      <c r="F655" s="467">
        <v>2000</v>
      </c>
      <c r="H655" s="467">
        <v>1</v>
      </c>
    </row>
    <row r="656" spans="1:8">
      <c r="A656" s="528" t="s">
        <v>2547</v>
      </c>
      <c r="B656" s="529" t="s">
        <v>2548</v>
      </c>
      <c r="C656" s="528" t="s">
        <v>2549</v>
      </c>
      <c r="D656" s="530" t="s">
        <v>408</v>
      </c>
      <c r="E656" s="466" t="str">
        <f t="shared" si="11"/>
        <v>C1</v>
      </c>
      <c r="F656" s="467">
        <v>2000</v>
      </c>
      <c r="H656" s="467" t="s">
        <v>408</v>
      </c>
    </row>
    <row r="657" spans="1:8" hidden="1">
      <c r="A657" s="528" t="s">
        <v>2550</v>
      </c>
      <c r="B657" s="529" t="s">
        <v>2548</v>
      </c>
      <c r="C657" s="528" t="s">
        <v>2551</v>
      </c>
      <c r="D657" s="530" t="s">
        <v>408</v>
      </c>
      <c r="E657" s="466" t="str">
        <f t="shared" si="11"/>
        <v>C1</v>
      </c>
      <c r="F657" s="467">
        <v>2000</v>
      </c>
      <c r="H657" s="467" t="s">
        <v>408</v>
      </c>
    </row>
    <row r="658" spans="1:8" s="478" customFormat="1" hidden="1">
      <c r="A658" s="473" t="s">
        <v>709</v>
      </c>
      <c r="B658" s="477" t="s">
        <v>2552</v>
      </c>
      <c r="C658" s="531" t="s">
        <v>2553</v>
      </c>
      <c r="D658" s="475" t="s">
        <v>775</v>
      </c>
      <c r="E658" s="466" t="str">
        <f t="shared" si="11"/>
        <v>LX</v>
      </c>
      <c r="F658" s="467">
        <v>2000</v>
      </c>
      <c r="H658" s="467">
        <v>1</v>
      </c>
    </row>
    <row r="659" spans="1:8" s="478" customFormat="1" hidden="1">
      <c r="A659" s="473" t="s">
        <v>729</v>
      </c>
      <c r="B659" s="477" t="s">
        <v>2554</v>
      </c>
      <c r="C659" s="531" t="s">
        <v>2555</v>
      </c>
      <c r="D659" s="475" t="s">
        <v>775</v>
      </c>
      <c r="E659" s="466" t="str">
        <f t="shared" si="11"/>
        <v>LX</v>
      </c>
      <c r="F659" s="467">
        <v>2000</v>
      </c>
      <c r="H659" s="467">
        <v>1</v>
      </c>
    </row>
    <row r="660" spans="1:8" s="478" customFormat="1" hidden="1">
      <c r="A660" s="473" t="s">
        <v>755</v>
      </c>
      <c r="B660" s="477" t="s">
        <v>2556</v>
      </c>
      <c r="C660" s="531" t="s">
        <v>2557</v>
      </c>
      <c r="D660" s="475" t="s">
        <v>775</v>
      </c>
      <c r="E660" s="466" t="str">
        <f t="shared" si="11"/>
        <v>LX</v>
      </c>
      <c r="F660" s="467">
        <v>2000</v>
      </c>
      <c r="H660" s="467">
        <v>1</v>
      </c>
    </row>
    <row r="661" spans="1:8" s="478" customFormat="1" hidden="1">
      <c r="A661" s="473" t="s">
        <v>724</v>
      </c>
      <c r="B661" s="477" t="s">
        <v>2558</v>
      </c>
      <c r="C661" s="531" t="s">
        <v>2559</v>
      </c>
      <c r="D661" s="475" t="s">
        <v>775</v>
      </c>
      <c r="E661" s="466" t="str">
        <f t="shared" si="11"/>
        <v>LX</v>
      </c>
      <c r="F661" s="467">
        <v>2000</v>
      </c>
      <c r="H661" s="467">
        <v>1</v>
      </c>
    </row>
    <row r="662" spans="1:8" s="478" customFormat="1" hidden="1">
      <c r="A662" s="473" t="s">
        <v>719</v>
      </c>
      <c r="B662" s="477" t="s">
        <v>2560</v>
      </c>
      <c r="C662" s="531" t="s">
        <v>2561</v>
      </c>
      <c r="D662" s="475" t="s">
        <v>775</v>
      </c>
      <c r="E662" s="466" t="str">
        <f t="shared" si="11"/>
        <v>LX</v>
      </c>
      <c r="F662" s="467">
        <v>2000</v>
      </c>
      <c r="H662" s="467">
        <v>1</v>
      </c>
    </row>
    <row r="663" spans="1:8" s="478" customFormat="1" hidden="1">
      <c r="A663" s="473" t="s">
        <v>734</v>
      </c>
      <c r="B663" s="477" t="s">
        <v>2562</v>
      </c>
      <c r="C663" s="531" t="s">
        <v>2563</v>
      </c>
      <c r="D663" s="475" t="s">
        <v>775</v>
      </c>
      <c r="E663" s="466" t="str">
        <f t="shared" si="11"/>
        <v>LX</v>
      </c>
      <c r="F663" s="467">
        <v>2000</v>
      </c>
      <c r="H663" s="467">
        <v>1</v>
      </c>
    </row>
    <row r="664" spans="1:8" s="478" customFormat="1" hidden="1">
      <c r="A664" s="473" t="s">
        <v>2564</v>
      </c>
      <c r="B664" s="477" t="s">
        <v>2565</v>
      </c>
      <c r="C664" s="531" t="s">
        <v>2566</v>
      </c>
      <c r="D664" s="475" t="s">
        <v>775</v>
      </c>
      <c r="E664" s="466" t="str">
        <f t="shared" si="11"/>
        <v>LX</v>
      </c>
      <c r="F664" s="467">
        <v>2000</v>
      </c>
      <c r="H664" s="467" t="e">
        <v>#N/A</v>
      </c>
    </row>
    <row r="665" spans="1:8" s="478" customFormat="1" hidden="1">
      <c r="A665" s="473" t="s">
        <v>767</v>
      </c>
      <c r="B665" s="477" t="s">
        <v>2567</v>
      </c>
      <c r="C665" s="531" t="s">
        <v>776</v>
      </c>
      <c r="D665" s="475" t="s">
        <v>775</v>
      </c>
      <c r="E665" s="466" t="str">
        <f t="shared" si="11"/>
        <v>LX</v>
      </c>
      <c r="F665" s="467">
        <v>2000</v>
      </c>
      <c r="H665" s="467">
        <v>1</v>
      </c>
    </row>
    <row r="666" spans="1:8" s="478" customFormat="1" hidden="1">
      <c r="A666" s="473" t="s">
        <v>2568</v>
      </c>
      <c r="B666" s="477" t="s">
        <v>2569</v>
      </c>
      <c r="C666" s="531" t="s">
        <v>2570</v>
      </c>
      <c r="D666" s="475" t="s">
        <v>775</v>
      </c>
      <c r="E666" s="466" t="str">
        <f t="shared" si="11"/>
        <v>LX</v>
      </c>
      <c r="F666" s="467">
        <v>2000</v>
      </c>
      <c r="H666" s="467" t="e">
        <v>#N/A</v>
      </c>
    </row>
    <row r="667" spans="1:8" s="478" customFormat="1" hidden="1">
      <c r="A667" s="473" t="s">
        <v>2571</v>
      </c>
      <c r="B667" s="477" t="s">
        <v>2572</v>
      </c>
      <c r="C667" s="531" t="s">
        <v>2573</v>
      </c>
      <c r="D667" s="475" t="s">
        <v>775</v>
      </c>
      <c r="E667" s="466" t="str">
        <f t="shared" si="11"/>
        <v>LX</v>
      </c>
      <c r="F667" s="467">
        <v>2000</v>
      </c>
      <c r="H667" s="467" t="e">
        <v>#N/A</v>
      </c>
    </row>
    <row r="668" spans="1:8" hidden="1">
      <c r="A668" s="494" t="s">
        <v>2574</v>
      </c>
      <c r="B668" s="493" t="s">
        <v>2575</v>
      </c>
      <c r="C668" s="532" t="s">
        <v>2576</v>
      </c>
      <c r="D668" s="495" t="s">
        <v>281</v>
      </c>
      <c r="E668" s="466" t="str">
        <f t="shared" si="11"/>
        <v>LD</v>
      </c>
      <c r="F668" s="467">
        <v>2000</v>
      </c>
      <c r="H668" s="467" t="s">
        <v>281</v>
      </c>
    </row>
    <row r="669" spans="1:8" hidden="1">
      <c r="A669" s="494" t="s">
        <v>2577</v>
      </c>
      <c r="B669" s="493" t="s">
        <v>2578</v>
      </c>
      <c r="C669" s="532" t="s">
        <v>2579</v>
      </c>
      <c r="D669" s="495" t="s">
        <v>281</v>
      </c>
      <c r="E669" s="466" t="str">
        <f t="shared" si="11"/>
        <v>LD</v>
      </c>
      <c r="F669" s="467">
        <v>2000</v>
      </c>
      <c r="H669" s="467" t="e">
        <v>#N/A</v>
      </c>
    </row>
    <row r="670" spans="1:8" hidden="1">
      <c r="A670" s="494" t="s">
        <v>2580</v>
      </c>
      <c r="B670" s="493" t="s">
        <v>2581</v>
      </c>
      <c r="C670" s="532" t="s">
        <v>2582</v>
      </c>
      <c r="D670" s="495" t="s">
        <v>281</v>
      </c>
      <c r="E670" s="466" t="str">
        <f t="shared" si="11"/>
        <v>LD</v>
      </c>
      <c r="F670" s="467">
        <v>2000</v>
      </c>
      <c r="H670" s="467" t="e">
        <v>#N/A</v>
      </c>
    </row>
    <row r="671" spans="1:8" hidden="1">
      <c r="A671" s="494" t="s">
        <v>2583</v>
      </c>
      <c r="B671" s="493" t="s">
        <v>2584</v>
      </c>
      <c r="C671" s="532" t="s">
        <v>2585</v>
      </c>
      <c r="D671" s="495" t="s">
        <v>281</v>
      </c>
      <c r="E671" s="466" t="str">
        <f t="shared" si="11"/>
        <v>LD</v>
      </c>
      <c r="F671" s="467">
        <v>2000</v>
      </c>
      <c r="H671" s="467" t="e">
        <v>#N/A</v>
      </c>
    </row>
    <row r="672" spans="1:8" hidden="1">
      <c r="A672" s="494" t="s">
        <v>2586</v>
      </c>
      <c r="B672" s="493" t="s">
        <v>2587</v>
      </c>
      <c r="C672" s="532" t="s">
        <v>2588</v>
      </c>
      <c r="D672" s="495" t="s">
        <v>281</v>
      </c>
      <c r="E672" s="466" t="str">
        <f t="shared" si="11"/>
        <v>LD</v>
      </c>
      <c r="F672" s="467">
        <v>2000</v>
      </c>
      <c r="H672" s="467" t="e">
        <v>#N/A</v>
      </c>
    </row>
    <row r="673" spans="1:8" hidden="1">
      <c r="A673" s="494" t="s">
        <v>2589</v>
      </c>
      <c r="B673" s="493" t="s">
        <v>2590</v>
      </c>
      <c r="C673" s="532" t="s">
        <v>2591</v>
      </c>
      <c r="D673" s="495" t="s">
        <v>281</v>
      </c>
      <c r="E673" s="466" t="str">
        <f t="shared" si="11"/>
        <v>LD</v>
      </c>
      <c r="F673" s="467">
        <v>2000</v>
      </c>
      <c r="H673" s="467" t="e">
        <v>#N/A</v>
      </c>
    </row>
    <row r="674" spans="1:8" hidden="1">
      <c r="A674" s="463" t="s">
        <v>871</v>
      </c>
      <c r="B674" s="488" t="s">
        <v>2018</v>
      </c>
      <c r="C674" s="523" t="s">
        <v>2019</v>
      </c>
      <c r="D674" s="465" t="s">
        <v>281</v>
      </c>
      <c r="E674" s="466" t="str">
        <f t="shared" si="11"/>
        <v>XL</v>
      </c>
      <c r="F674" s="467">
        <v>2000</v>
      </c>
      <c r="H674" s="467">
        <v>1</v>
      </c>
    </row>
    <row r="675" spans="1:8" s="478" customFormat="1" hidden="1">
      <c r="A675" s="496" t="s">
        <v>1288</v>
      </c>
      <c r="B675" s="509"/>
      <c r="C675" s="499" t="s">
        <v>2592</v>
      </c>
      <c r="D675" s="498"/>
      <c r="E675" s="466" t="str">
        <f t="shared" si="11"/>
        <v>LB</v>
      </c>
      <c r="F675" s="467">
        <v>2000</v>
      </c>
      <c r="H675" s="467">
        <v>0</v>
      </c>
    </row>
    <row r="676" spans="1:8" s="478" customFormat="1" hidden="1">
      <c r="A676" s="496" t="s">
        <v>2593</v>
      </c>
      <c r="B676" s="509"/>
      <c r="C676" s="499" t="s">
        <v>2594</v>
      </c>
      <c r="D676" s="498"/>
      <c r="E676" s="466" t="str">
        <f t="shared" si="11"/>
        <v>LC</v>
      </c>
      <c r="F676" s="467">
        <v>2000</v>
      </c>
      <c r="H676" s="467" t="e">
        <v>#N/A</v>
      </c>
    </row>
    <row r="677" spans="1:8" hidden="1">
      <c r="A677" s="463" t="s">
        <v>1076</v>
      </c>
      <c r="B677" s="488" t="s">
        <v>2007</v>
      </c>
      <c r="C677" s="499" t="s">
        <v>2595</v>
      </c>
      <c r="D677" s="465" t="s">
        <v>281</v>
      </c>
      <c r="E677" s="466" t="str">
        <f t="shared" si="11"/>
        <v>LC</v>
      </c>
      <c r="F677" s="467">
        <v>2000</v>
      </c>
      <c r="H677" s="467">
        <v>0</v>
      </c>
    </row>
    <row r="678" spans="1:8" hidden="1">
      <c r="A678" s="489" t="s">
        <v>831</v>
      </c>
      <c r="B678" s="490" t="s">
        <v>2596</v>
      </c>
      <c r="C678" s="533" t="s">
        <v>2597</v>
      </c>
      <c r="D678" s="491" t="s">
        <v>775</v>
      </c>
      <c r="E678" s="466" t="str">
        <f t="shared" si="11"/>
        <v>LC</v>
      </c>
      <c r="F678" s="467">
        <v>2000</v>
      </c>
      <c r="H678" s="467">
        <v>1</v>
      </c>
    </row>
    <row r="679" spans="1:8" hidden="1">
      <c r="A679" s="489" t="s">
        <v>826</v>
      </c>
      <c r="B679" s="490" t="s">
        <v>2598</v>
      </c>
      <c r="C679" s="533" t="s">
        <v>2599</v>
      </c>
      <c r="D679" s="491" t="s">
        <v>775</v>
      </c>
      <c r="E679" s="466" t="str">
        <f t="shared" si="11"/>
        <v>LD</v>
      </c>
      <c r="F679" s="467">
        <v>2000</v>
      </c>
      <c r="H679" s="467">
        <v>1</v>
      </c>
    </row>
    <row r="680" spans="1:8">
      <c r="A680" s="489" t="s">
        <v>2600</v>
      </c>
      <c r="B680" s="490" t="s">
        <v>1395</v>
      </c>
      <c r="C680" s="533" t="s">
        <v>2601</v>
      </c>
      <c r="D680" s="491" t="s">
        <v>281</v>
      </c>
      <c r="E680" s="466" t="str">
        <f t="shared" si="11"/>
        <v>NX</v>
      </c>
      <c r="F680" s="467">
        <v>2000</v>
      </c>
      <c r="H680" s="467" t="e">
        <v>#N/A</v>
      </c>
    </row>
    <row r="681" spans="1:8" hidden="1">
      <c r="A681" s="489" t="s">
        <v>2602</v>
      </c>
      <c r="B681" s="490" t="s">
        <v>1395</v>
      </c>
      <c r="C681" s="533" t="s">
        <v>2603</v>
      </c>
      <c r="D681" s="491" t="s">
        <v>281</v>
      </c>
      <c r="E681" s="466" t="str">
        <f t="shared" si="11"/>
        <v>LD</v>
      </c>
      <c r="F681" s="467">
        <v>2000</v>
      </c>
      <c r="H681" s="467" t="e">
        <v>#N/A</v>
      </c>
    </row>
    <row r="682" spans="1:8" hidden="1">
      <c r="A682" s="489" t="s">
        <v>2604</v>
      </c>
      <c r="B682" s="490" t="s">
        <v>1395</v>
      </c>
      <c r="C682" s="533" t="s">
        <v>2605</v>
      </c>
      <c r="D682" s="491" t="s">
        <v>281</v>
      </c>
      <c r="E682" s="466" t="str">
        <f t="shared" si="11"/>
        <v>LD</v>
      </c>
      <c r="F682" s="467">
        <v>2000</v>
      </c>
      <c r="H682" s="467" t="e">
        <v>#N/A</v>
      </c>
    </row>
    <row r="683" spans="1:8" hidden="1">
      <c r="A683" s="489" t="s">
        <v>2606</v>
      </c>
      <c r="B683" s="490" t="s">
        <v>1398</v>
      </c>
      <c r="C683" s="533" t="s">
        <v>2607</v>
      </c>
      <c r="D683" s="491" t="s">
        <v>281</v>
      </c>
      <c r="E683" s="466" t="str">
        <f t="shared" si="11"/>
        <v>LD</v>
      </c>
      <c r="F683" s="467">
        <v>2000</v>
      </c>
      <c r="H683" s="467" t="e">
        <v>#N/A</v>
      </c>
    </row>
    <row r="684" spans="1:8" hidden="1">
      <c r="A684" s="489" t="s">
        <v>2608</v>
      </c>
      <c r="B684" s="490" t="s">
        <v>1398</v>
      </c>
      <c r="C684" s="533" t="s">
        <v>2609</v>
      </c>
      <c r="D684" s="491" t="s">
        <v>281</v>
      </c>
      <c r="E684" s="466" t="str">
        <f t="shared" si="11"/>
        <v>LD</v>
      </c>
      <c r="F684" s="467">
        <v>2000</v>
      </c>
      <c r="H684" s="467" t="e">
        <v>#N/A</v>
      </c>
    </row>
    <row r="685" spans="1:8" hidden="1">
      <c r="A685" s="489" t="s">
        <v>2610</v>
      </c>
      <c r="B685" s="490" t="s">
        <v>1395</v>
      </c>
      <c r="C685" s="533" t="s">
        <v>2611</v>
      </c>
      <c r="D685" s="491" t="s">
        <v>281</v>
      </c>
      <c r="E685" s="466" t="str">
        <f t="shared" si="11"/>
        <v>LD</v>
      </c>
      <c r="F685" s="467">
        <v>2000</v>
      </c>
      <c r="H685" s="467" t="e">
        <v>#N/A</v>
      </c>
    </row>
    <row r="686" spans="1:8" hidden="1">
      <c r="A686" s="489" t="s">
        <v>2612</v>
      </c>
      <c r="B686" s="490" t="s">
        <v>1398</v>
      </c>
      <c r="C686" s="533" t="s">
        <v>2613</v>
      </c>
      <c r="D686" s="491" t="s">
        <v>281</v>
      </c>
      <c r="E686" s="466" t="str">
        <f t="shared" si="11"/>
        <v>LD</v>
      </c>
      <c r="F686" s="467">
        <v>2000</v>
      </c>
      <c r="H686" s="467" t="e">
        <v>#N/A</v>
      </c>
    </row>
    <row r="687" spans="1:8" hidden="1">
      <c r="A687" s="479" t="s">
        <v>580</v>
      </c>
      <c r="B687" s="483" t="s">
        <v>2614</v>
      </c>
      <c r="C687" s="534" t="s">
        <v>2615</v>
      </c>
      <c r="D687" s="481" t="s">
        <v>1808</v>
      </c>
      <c r="E687" s="466" t="str">
        <f t="shared" si="11"/>
        <v>DB</v>
      </c>
      <c r="F687" s="467">
        <v>2000</v>
      </c>
      <c r="H687" s="467">
        <v>0.20399999999999999</v>
      </c>
    </row>
    <row r="688" spans="1:8" hidden="1">
      <c r="A688" s="479" t="s">
        <v>483</v>
      </c>
      <c r="B688" s="483" t="s">
        <v>2616</v>
      </c>
      <c r="C688" s="534" t="s">
        <v>2617</v>
      </c>
      <c r="D688" s="481" t="s">
        <v>1808</v>
      </c>
      <c r="E688" s="466" t="str">
        <f t="shared" si="11"/>
        <v>DB</v>
      </c>
      <c r="F688" s="467">
        <v>2000</v>
      </c>
      <c r="H688" s="467">
        <v>0.55000000000000004</v>
      </c>
    </row>
    <row r="689" spans="1:8" hidden="1">
      <c r="A689" s="479" t="s">
        <v>480</v>
      </c>
      <c r="B689" s="535" t="s">
        <v>2618</v>
      </c>
      <c r="C689" s="534" t="s">
        <v>2619</v>
      </c>
      <c r="D689" s="481" t="s">
        <v>1808</v>
      </c>
      <c r="E689" s="466" t="str">
        <f t="shared" si="11"/>
        <v>DB</v>
      </c>
      <c r="F689" s="467">
        <v>2000</v>
      </c>
      <c r="H689" s="467">
        <v>0.39</v>
      </c>
    </row>
    <row r="690" spans="1:8" hidden="1">
      <c r="A690" s="463" t="s">
        <v>475</v>
      </c>
      <c r="B690" s="488" t="s">
        <v>2620</v>
      </c>
      <c r="C690" s="523" t="s">
        <v>2621</v>
      </c>
      <c r="D690" s="465" t="s">
        <v>614</v>
      </c>
      <c r="E690" s="466" t="str">
        <f t="shared" si="11"/>
        <v>LC</v>
      </c>
      <c r="F690" s="467">
        <v>2000</v>
      </c>
      <c r="H690" s="467">
        <v>0</v>
      </c>
    </row>
    <row r="691" spans="1:8" hidden="1">
      <c r="A691" s="463" t="s">
        <v>2622</v>
      </c>
      <c r="B691" s="488" t="s">
        <v>2623</v>
      </c>
      <c r="C691" s="523" t="s">
        <v>2624</v>
      </c>
      <c r="D691" s="465" t="s">
        <v>614</v>
      </c>
      <c r="E691" s="466" t="str">
        <f t="shared" si="11"/>
        <v>LC</v>
      </c>
      <c r="F691" s="467">
        <v>2000</v>
      </c>
      <c r="H691" s="467" t="e">
        <v>#N/A</v>
      </c>
    </row>
    <row r="692" spans="1:8" hidden="1">
      <c r="A692" s="463" t="s">
        <v>2625</v>
      </c>
      <c r="B692" s="488" t="s">
        <v>2626</v>
      </c>
      <c r="C692" s="523" t="s">
        <v>2627</v>
      </c>
      <c r="D692" s="465" t="s">
        <v>614</v>
      </c>
      <c r="E692" s="466" t="str">
        <f t="shared" si="11"/>
        <v>LC</v>
      </c>
      <c r="F692" s="467">
        <v>2000</v>
      </c>
      <c r="H692" s="467" t="e">
        <v>#N/A</v>
      </c>
    </row>
    <row r="693" spans="1:8" hidden="1">
      <c r="A693" s="463" t="s">
        <v>582</v>
      </c>
      <c r="B693" s="488" t="s">
        <v>2628</v>
      </c>
      <c r="C693" s="523" t="s">
        <v>2629</v>
      </c>
      <c r="D693" s="465" t="s">
        <v>1814</v>
      </c>
      <c r="E693" s="466" t="str">
        <f t="shared" si="11"/>
        <v>LD</v>
      </c>
      <c r="F693" s="467">
        <v>2000</v>
      </c>
      <c r="H693" s="467">
        <v>8</v>
      </c>
    </row>
    <row r="694" spans="1:8" hidden="1">
      <c r="A694" s="473" t="s">
        <v>2630</v>
      </c>
      <c r="B694" s="477" t="s">
        <v>2631</v>
      </c>
      <c r="C694" s="531" t="s">
        <v>2632</v>
      </c>
      <c r="D694" s="475" t="s">
        <v>2633</v>
      </c>
      <c r="E694" s="466" t="str">
        <f t="shared" si="11"/>
        <v>KD</v>
      </c>
      <c r="F694" s="467">
        <v>2000</v>
      </c>
      <c r="H694" s="467" t="e">
        <v>#N/A</v>
      </c>
    </row>
    <row r="695" spans="1:8" hidden="1">
      <c r="A695" s="473" t="s">
        <v>2634</v>
      </c>
      <c r="B695" s="477" t="s">
        <v>2635</v>
      </c>
      <c r="C695" s="531" t="s">
        <v>2636</v>
      </c>
      <c r="D695" s="475" t="s">
        <v>2633</v>
      </c>
      <c r="E695" s="466" t="str">
        <f t="shared" si="11"/>
        <v>KD</v>
      </c>
      <c r="F695" s="467">
        <v>2000</v>
      </c>
      <c r="H695" s="467" t="e">
        <v>#N/A</v>
      </c>
    </row>
    <row r="696" spans="1:8" hidden="1">
      <c r="A696" s="473" t="s">
        <v>2637</v>
      </c>
      <c r="B696" s="477" t="s">
        <v>2638</v>
      </c>
      <c r="C696" s="531" t="s">
        <v>2639</v>
      </c>
      <c r="D696" s="475" t="s">
        <v>2633</v>
      </c>
      <c r="E696" s="466" t="str">
        <f t="shared" si="11"/>
        <v>KD</v>
      </c>
      <c r="F696" s="467">
        <v>2000</v>
      </c>
      <c r="H696" s="467" t="e">
        <v>#N/A</v>
      </c>
    </row>
    <row r="697" spans="1:8" hidden="1">
      <c r="A697" s="473" t="s">
        <v>2640</v>
      </c>
      <c r="B697" s="477" t="s">
        <v>2641</v>
      </c>
      <c r="C697" s="531" t="s">
        <v>2642</v>
      </c>
      <c r="D697" s="475" t="s">
        <v>2633</v>
      </c>
      <c r="E697" s="466" t="str">
        <f t="shared" si="11"/>
        <v>KD</v>
      </c>
      <c r="F697" s="467">
        <v>2000</v>
      </c>
      <c r="H697" s="467" t="e">
        <v>#N/A</v>
      </c>
    </row>
    <row r="698" spans="1:8" hidden="1">
      <c r="A698" s="469" t="s">
        <v>2643</v>
      </c>
      <c r="B698" s="485" t="s">
        <v>2644</v>
      </c>
      <c r="C698" s="536" t="s">
        <v>2645</v>
      </c>
      <c r="D698" s="471" t="s">
        <v>2633</v>
      </c>
      <c r="E698" s="466" t="str">
        <f t="shared" si="11"/>
        <v>KD</v>
      </c>
      <c r="F698" s="467">
        <v>2000</v>
      </c>
      <c r="H698" s="467" t="e">
        <v>#N/A</v>
      </c>
    </row>
    <row r="699" spans="1:8" hidden="1">
      <c r="A699" s="469" t="s">
        <v>1129</v>
      </c>
      <c r="B699" s="485" t="s">
        <v>2635</v>
      </c>
      <c r="C699" s="536" t="s">
        <v>2646</v>
      </c>
      <c r="D699" s="471" t="s">
        <v>2633</v>
      </c>
      <c r="E699" s="466" t="str">
        <f t="shared" si="11"/>
        <v>KD</v>
      </c>
      <c r="F699" s="467">
        <v>2000</v>
      </c>
      <c r="H699" s="467">
        <v>0</v>
      </c>
    </row>
    <row r="700" spans="1:8" hidden="1">
      <c r="A700" s="469" t="s">
        <v>1034</v>
      </c>
      <c r="B700" s="485" t="s">
        <v>2647</v>
      </c>
      <c r="C700" s="536" t="s">
        <v>2648</v>
      </c>
      <c r="D700" s="471" t="s">
        <v>2633</v>
      </c>
      <c r="E700" s="466" t="str">
        <f t="shared" si="11"/>
        <v>KD</v>
      </c>
      <c r="F700" s="467">
        <v>2000</v>
      </c>
      <c r="H700" s="467">
        <v>0</v>
      </c>
    </row>
    <row r="701" spans="1:8" hidden="1">
      <c r="A701" s="469" t="s">
        <v>1035</v>
      </c>
      <c r="B701" s="485" t="s">
        <v>2649</v>
      </c>
      <c r="C701" s="536" t="s">
        <v>2650</v>
      </c>
      <c r="D701" s="471" t="s">
        <v>2633</v>
      </c>
      <c r="E701" s="466" t="str">
        <f t="shared" si="11"/>
        <v>KD</v>
      </c>
      <c r="F701" s="467">
        <v>2000</v>
      </c>
      <c r="H701" s="467">
        <v>0</v>
      </c>
    </row>
    <row r="702" spans="1:8" hidden="1">
      <c r="A702" s="469" t="s">
        <v>1036</v>
      </c>
      <c r="B702" s="485" t="s">
        <v>2651</v>
      </c>
      <c r="C702" s="536" t="s">
        <v>2652</v>
      </c>
      <c r="D702" s="471" t="s">
        <v>2633</v>
      </c>
      <c r="E702" s="466" t="str">
        <f t="shared" si="11"/>
        <v>KD</v>
      </c>
      <c r="F702" s="467">
        <v>2000</v>
      </c>
      <c r="H702" s="467">
        <v>0</v>
      </c>
    </row>
    <row r="703" spans="1:8" hidden="1">
      <c r="A703" s="469" t="s">
        <v>1037</v>
      </c>
      <c r="B703" s="485" t="s">
        <v>2653</v>
      </c>
      <c r="C703" s="536" t="s">
        <v>2654</v>
      </c>
      <c r="D703" s="471" t="s">
        <v>2633</v>
      </c>
      <c r="E703" s="466" t="str">
        <f t="shared" si="11"/>
        <v>KD</v>
      </c>
      <c r="F703" s="467">
        <v>2000</v>
      </c>
      <c r="H703" s="467">
        <v>0</v>
      </c>
    </row>
    <row r="704" spans="1:8" hidden="1">
      <c r="A704" s="469" t="s">
        <v>1038</v>
      </c>
      <c r="B704" s="485" t="s">
        <v>2655</v>
      </c>
      <c r="C704" s="536" t="s">
        <v>2656</v>
      </c>
      <c r="D704" s="471" t="s">
        <v>2633</v>
      </c>
      <c r="E704" s="466" t="str">
        <f t="shared" si="11"/>
        <v>KD</v>
      </c>
      <c r="F704" s="467">
        <v>2000</v>
      </c>
      <c r="H704" s="467">
        <v>0</v>
      </c>
    </row>
    <row r="705" spans="1:8" hidden="1">
      <c r="A705" s="469" t="s">
        <v>1039</v>
      </c>
      <c r="B705" s="485" t="s">
        <v>2657</v>
      </c>
      <c r="C705" s="536" t="s">
        <v>2658</v>
      </c>
      <c r="D705" s="471" t="s">
        <v>2633</v>
      </c>
      <c r="E705" s="466" t="str">
        <f t="shared" si="11"/>
        <v>KD</v>
      </c>
      <c r="F705" s="467">
        <v>2000</v>
      </c>
      <c r="H705" s="467">
        <v>0</v>
      </c>
    </row>
    <row r="706" spans="1:8" hidden="1">
      <c r="A706" s="537" t="s">
        <v>1235</v>
      </c>
      <c r="B706" s="490" t="s">
        <v>2659</v>
      </c>
      <c r="C706" s="533" t="s">
        <v>2660</v>
      </c>
      <c r="D706" s="491" t="s">
        <v>2633</v>
      </c>
      <c r="E706" s="466" t="str">
        <f t="shared" si="11"/>
        <v>KD</v>
      </c>
      <c r="F706" s="467">
        <v>2000</v>
      </c>
      <c r="H706" s="467">
        <v>0</v>
      </c>
    </row>
    <row r="707" spans="1:8" hidden="1">
      <c r="A707" s="537" t="s">
        <v>2661</v>
      </c>
      <c r="B707" s="490" t="s">
        <v>2659</v>
      </c>
      <c r="C707" s="533" t="s">
        <v>2662</v>
      </c>
      <c r="D707" s="491" t="s">
        <v>2633</v>
      </c>
      <c r="E707" s="466" t="str">
        <f t="shared" si="11"/>
        <v>KD</v>
      </c>
      <c r="F707" s="467">
        <v>2000</v>
      </c>
      <c r="H707" s="467" t="e">
        <v>#N/A</v>
      </c>
    </row>
    <row r="708" spans="1:8" hidden="1">
      <c r="A708" s="537" t="s">
        <v>1236</v>
      </c>
      <c r="B708" s="490" t="s">
        <v>2663</v>
      </c>
      <c r="C708" s="533" t="s">
        <v>2664</v>
      </c>
      <c r="D708" s="491" t="s">
        <v>2633</v>
      </c>
      <c r="E708" s="466" t="str">
        <f t="shared" si="11"/>
        <v>KD</v>
      </c>
      <c r="F708" s="467">
        <v>2000</v>
      </c>
      <c r="H708" s="467">
        <v>0</v>
      </c>
    </row>
    <row r="709" spans="1:8" hidden="1">
      <c r="A709" s="537" t="s">
        <v>2665</v>
      </c>
      <c r="B709" s="522" t="s">
        <v>2666</v>
      </c>
      <c r="C709" s="533" t="s">
        <v>2667</v>
      </c>
      <c r="D709" s="491" t="s">
        <v>2633</v>
      </c>
      <c r="E709" s="466" t="str">
        <f t="shared" si="11"/>
        <v>KD</v>
      </c>
      <c r="F709" s="467">
        <v>2000</v>
      </c>
      <c r="H709" s="467" t="e">
        <v>#N/A</v>
      </c>
    </row>
    <row r="710" spans="1:8" hidden="1">
      <c r="A710" s="537" t="s">
        <v>1237</v>
      </c>
      <c r="B710" s="490" t="s">
        <v>2668</v>
      </c>
      <c r="C710" s="533" t="s">
        <v>2669</v>
      </c>
      <c r="D710" s="491" t="s">
        <v>2633</v>
      </c>
      <c r="E710" s="466" t="str">
        <f t="shared" si="11"/>
        <v>KD</v>
      </c>
      <c r="F710" s="467">
        <v>2000</v>
      </c>
      <c r="H710" s="467">
        <v>0</v>
      </c>
    </row>
    <row r="711" spans="1:8" hidden="1">
      <c r="A711" s="473" t="s">
        <v>2670</v>
      </c>
      <c r="B711" s="477" t="s">
        <v>2644</v>
      </c>
      <c r="C711" s="531" t="s">
        <v>2671</v>
      </c>
      <c r="D711" s="475" t="s">
        <v>2633</v>
      </c>
      <c r="E711" s="466" t="str">
        <f t="shared" si="11"/>
        <v>KD</v>
      </c>
      <c r="F711" s="467">
        <v>2000</v>
      </c>
      <c r="H711" s="467" t="e">
        <v>#N/A</v>
      </c>
    </row>
    <row r="712" spans="1:8" hidden="1">
      <c r="A712" s="473" t="s">
        <v>1025</v>
      </c>
      <c r="B712" s="477" t="s">
        <v>2672</v>
      </c>
      <c r="C712" s="531" t="s">
        <v>2673</v>
      </c>
      <c r="D712" s="475" t="s">
        <v>2633</v>
      </c>
      <c r="E712" s="466" t="str">
        <f t="shared" si="11"/>
        <v>KD</v>
      </c>
      <c r="F712" s="467">
        <v>2000</v>
      </c>
      <c r="H712" s="467">
        <v>0</v>
      </c>
    </row>
    <row r="713" spans="1:8" hidden="1">
      <c r="A713" s="473" t="s">
        <v>1027</v>
      </c>
      <c r="B713" s="477" t="s">
        <v>2647</v>
      </c>
      <c r="C713" s="531" t="s">
        <v>2674</v>
      </c>
      <c r="D713" s="475" t="s">
        <v>2633</v>
      </c>
      <c r="E713" s="466" t="str">
        <f t="shared" si="11"/>
        <v>KD</v>
      </c>
      <c r="F713" s="467">
        <v>2000</v>
      </c>
      <c r="H713" s="467">
        <v>0</v>
      </c>
    </row>
    <row r="714" spans="1:8" hidden="1">
      <c r="A714" s="473" t="s">
        <v>1028</v>
      </c>
      <c r="B714" s="477" t="s">
        <v>2649</v>
      </c>
      <c r="C714" s="531" t="s">
        <v>2675</v>
      </c>
      <c r="D714" s="475" t="s">
        <v>2633</v>
      </c>
      <c r="E714" s="466" t="str">
        <f t="shared" si="11"/>
        <v>KD</v>
      </c>
      <c r="F714" s="467">
        <v>2000</v>
      </c>
      <c r="H714" s="467">
        <v>0</v>
      </c>
    </row>
    <row r="715" spans="1:8" hidden="1">
      <c r="A715" s="473" t="s">
        <v>1029</v>
      </c>
      <c r="B715" s="477" t="s">
        <v>2651</v>
      </c>
      <c r="C715" s="531" t="s">
        <v>2676</v>
      </c>
      <c r="D715" s="475" t="s">
        <v>2633</v>
      </c>
      <c r="E715" s="466" t="str">
        <f t="shared" si="11"/>
        <v>KD</v>
      </c>
      <c r="F715" s="467">
        <v>2000</v>
      </c>
      <c r="H715" s="467">
        <v>0</v>
      </c>
    </row>
    <row r="716" spans="1:8" hidden="1">
      <c r="A716" s="473" t="s">
        <v>1030</v>
      </c>
      <c r="B716" s="477" t="s">
        <v>2653</v>
      </c>
      <c r="C716" s="531" t="s">
        <v>2677</v>
      </c>
      <c r="D716" s="475" t="s">
        <v>2633</v>
      </c>
      <c r="E716" s="466" t="str">
        <f t="shared" si="11"/>
        <v>KD</v>
      </c>
      <c r="F716" s="467">
        <v>2000</v>
      </c>
      <c r="H716" s="467">
        <v>0</v>
      </c>
    </row>
    <row r="717" spans="1:8" s="478" customFormat="1" hidden="1">
      <c r="A717" s="473" t="s">
        <v>1031</v>
      </c>
      <c r="B717" s="477" t="s">
        <v>2672</v>
      </c>
      <c r="C717" s="531" t="s">
        <v>2678</v>
      </c>
      <c r="D717" s="475" t="s">
        <v>2633</v>
      </c>
      <c r="E717" s="466" t="str">
        <f t="shared" si="11"/>
        <v>KD</v>
      </c>
      <c r="F717" s="467">
        <v>2000</v>
      </c>
      <c r="H717" s="467">
        <v>0</v>
      </c>
    </row>
    <row r="718" spans="1:8" s="478" customFormat="1" hidden="1">
      <c r="A718" s="473" t="s">
        <v>2679</v>
      </c>
      <c r="B718" s="477" t="s">
        <v>2653</v>
      </c>
      <c r="C718" s="531" t="s">
        <v>2680</v>
      </c>
      <c r="D718" s="475" t="s">
        <v>2633</v>
      </c>
      <c r="E718" s="466" t="str">
        <f t="shared" si="11"/>
        <v>KD</v>
      </c>
      <c r="F718" s="467">
        <v>2000</v>
      </c>
      <c r="H718" s="467" t="e">
        <v>#N/A</v>
      </c>
    </row>
    <row r="719" spans="1:8" hidden="1">
      <c r="A719" s="473" t="s">
        <v>1032</v>
      </c>
      <c r="B719" s="477" t="s">
        <v>2655</v>
      </c>
      <c r="C719" s="531" t="s">
        <v>2681</v>
      </c>
      <c r="D719" s="475" t="s">
        <v>2633</v>
      </c>
      <c r="E719" s="466" t="str">
        <f t="shared" ref="E719:E782" si="12">LEFT(A719,2)</f>
        <v>KD</v>
      </c>
      <c r="F719" s="467">
        <v>2000</v>
      </c>
      <c r="H719" s="467">
        <v>0</v>
      </c>
    </row>
    <row r="720" spans="1:8" hidden="1">
      <c r="A720" s="473" t="s">
        <v>1033</v>
      </c>
      <c r="B720" s="477" t="s">
        <v>2657</v>
      </c>
      <c r="C720" s="531" t="s">
        <v>2682</v>
      </c>
      <c r="D720" s="475" t="s">
        <v>2633</v>
      </c>
      <c r="E720" s="466" t="str">
        <f t="shared" si="12"/>
        <v>KD</v>
      </c>
      <c r="F720" s="467">
        <v>2000</v>
      </c>
      <c r="H720" s="467">
        <v>0</v>
      </c>
    </row>
    <row r="721" spans="1:8">
      <c r="A721" s="479" t="s">
        <v>2683</v>
      </c>
      <c r="B721" s="483" t="s">
        <v>2684</v>
      </c>
      <c r="C721" s="534" t="s">
        <v>2685</v>
      </c>
      <c r="D721" s="481" t="s">
        <v>2633</v>
      </c>
      <c r="E721" s="466" t="str">
        <f t="shared" si="12"/>
        <v>KD</v>
      </c>
      <c r="F721" s="467">
        <v>2000</v>
      </c>
      <c r="H721" s="467" t="e">
        <v>#N/A</v>
      </c>
    </row>
    <row r="722" spans="1:8" hidden="1">
      <c r="A722" s="479" t="s">
        <v>1126</v>
      </c>
      <c r="B722" s="483" t="s">
        <v>2684</v>
      </c>
      <c r="C722" s="534" t="s">
        <v>2686</v>
      </c>
      <c r="D722" s="481" t="s">
        <v>2633</v>
      </c>
      <c r="E722" s="466" t="str">
        <f t="shared" si="12"/>
        <v>KD</v>
      </c>
      <c r="F722" s="467">
        <v>2000</v>
      </c>
      <c r="H722" s="467">
        <v>0</v>
      </c>
    </row>
    <row r="723" spans="1:8" hidden="1">
      <c r="A723" s="479" t="s">
        <v>2687</v>
      </c>
      <c r="B723" s="483" t="s">
        <v>2688</v>
      </c>
      <c r="C723" s="534" t="s">
        <v>2689</v>
      </c>
      <c r="D723" s="481" t="s">
        <v>2633</v>
      </c>
      <c r="E723" s="466" t="str">
        <f t="shared" si="12"/>
        <v>KD</v>
      </c>
      <c r="F723" s="467">
        <v>2000</v>
      </c>
      <c r="H723" s="467" t="e">
        <v>#N/A</v>
      </c>
    </row>
    <row r="724" spans="1:8" hidden="1">
      <c r="A724" s="479" t="s">
        <v>2690</v>
      </c>
      <c r="B724" s="483" t="s">
        <v>2691</v>
      </c>
      <c r="C724" s="534" t="s">
        <v>2692</v>
      </c>
      <c r="D724" s="481" t="s">
        <v>2633</v>
      </c>
      <c r="E724" s="466" t="str">
        <f t="shared" si="12"/>
        <v>KD</v>
      </c>
      <c r="F724" s="467">
        <v>2000</v>
      </c>
      <c r="H724" s="467" t="e">
        <v>#N/A</v>
      </c>
    </row>
    <row r="725" spans="1:8" hidden="1">
      <c r="A725" s="479" t="s">
        <v>2693</v>
      </c>
      <c r="B725" s="483" t="s">
        <v>2691</v>
      </c>
      <c r="C725" s="534" t="s">
        <v>2694</v>
      </c>
      <c r="D725" s="481" t="s">
        <v>2633</v>
      </c>
      <c r="E725" s="466" t="str">
        <f t="shared" si="12"/>
        <v>KD</v>
      </c>
      <c r="F725" s="467">
        <v>2000</v>
      </c>
      <c r="H725" s="467" t="e">
        <v>#N/A</v>
      </c>
    </row>
    <row r="726" spans="1:8" hidden="1">
      <c r="A726" s="479" t="s">
        <v>2695</v>
      </c>
      <c r="B726" s="483" t="s">
        <v>2696</v>
      </c>
      <c r="C726" s="534" t="s">
        <v>2697</v>
      </c>
      <c r="D726" s="481" t="s">
        <v>2633</v>
      </c>
      <c r="E726" s="466" t="str">
        <f t="shared" si="12"/>
        <v>KD</v>
      </c>
      <c r="F726" s="467">
        <v>2000</v>
      </c>
      <c r="H726" s="467" t="e">
        <v>#N/A</v>
      </c>
    </row>
    <row r="727" spans="1:8" hidden="1">
      <c r="A727" s="479" t="s">
        <v>2698</v>
      </c>
      <c r="B727" s="483" t="s">
        <v>2699</v>
      </c>
      <c r="C727" s="534" t="s">
        <v>2700</v>
      </c>
      <c r="D727" s="481" t="s">
        <v>2633</v>
      </c>
      <c r="E727" s="466" t="str">
        <f t="shared" si="12"/>
        <v>KD</v>
      </c>
      <c r="F727" s="467">
        <v>2000</v>
      </c>
      <c r="H727" s="467" t="e">
        <v>#N/A</v>
      </c>
    </row>
    <row r="728" spans="1:8" hidden="1">
      <c r="A728" s="469" t="s">
        <v>2701</v>
      </c>
      <c r="B728" s="485" t="s">
        <v>2684</v>
      </c>
      <c r="C728" s="536" t="s">
        <v>2702</v>
      </c>
      <c r="D728" s="471" t="s">
        <v>2633</v>
      </c>
      <c r="E728" s="466" t="str">
        <f t="shared" si="12"/>
        <v>KD</v>
      </c>
      <c r="F728" s="467">
        <v>2000</v>
      </c>
      <c r="H728" s="467">
        <v>0</v>
      </c>
    </row>
    <row r="729" spans="1:8" hidden="1">
      <c r="A729" s="469" t="s">
        <v>2703</v>
      </c>
      <c r="B729" s="485" t="s">
        <v>2691</v>
      </c>
      <c r="C729" s="536" t="s">
        <v>2704</v>
      </c>
      <c r="D729" s="471" t="s">
        <v>2633</v>
      </c>
      <c r="E729" s="466" t="str">
        <f t="shared" si="12"/>
        <v>KD</v>
      </c>
      <c r="F729" s="467">
        <v>2000</v>
      </c>
      <c r="H729" s="467">
        <v>0</v>
      </c>
    </row>
    <row r="730" spans="1:8" hidden="1">
      <c r="A730" s="469" t="s">
        <v>2705</v>
      </c>
      <c r="B730" s="485" t="s">
        <v>2699</v>
      </c>
      <c r="C730" s="536" t="s">
        <v>2706</v>
      </c>
      <c r="D730" s="471" t="s">
        <v>2633</v>
      </c>
      <c r="E730" s="466" t="str">
        <f t="shared" si="12"/>
        <v>KD</v>
      </c>
      <c r="F730" s="467">
        <v>2000</v>
      </c>
      <c r="H730" s="467" t="e">
        <v>#N/A</v>
      </c>
    </row>
    <row r="731" spans="1:8" hidden="1">
      <c r="A731" s="489" t="s">
        <v>2707</v>
      </c>
      <c r="B731" s="490" t="s">
        <v>2708</v>
      </c>
      <c r="C731" s="533" t="s">
        <v>2709</v>
      </c>
      <c r="D731" s="491" t="s">
        <v>2710</v>
      </c>
      <c r="E731" s="466" t="str">
        <f t="shared" si="12"/>
        <v>KD</v>
      </c>
      <c r="F731" s="467">
        <v>2000</v>
      </c>
      <c r="H731" s="467" t="e">
        <v>#N/A</v>
      </c>
    </row>
    <row r="732" spans="1:8" hidden="1">
      <c r="A732" s="489" t="s">
        <v>1058</v>
      </c>
      <c r="B732" s="490" t="s">
        <v>2711</v>
      </c>
      <c r="C732" s="533" t="s">
        <v>2712</v>
      </c>
      <c r="D732" s="491" t="s">
        <v>2710</v>
      </c>
      <c r="E732" s="466" t="str">
        <f t="shared" si="12"/>
        <v>KD</v>
      </c>
      <c r="F732" s="467">
        <v>2000</v>
      </c>
      <c r="H732" s="467">
        <v>0</v>
      </c>
    </row>
    <row r="733" spans="1:8" hidden="1">
      <c r="A733" s="489" t="s">
        <v>1059</v>
      </c>
      <c r="B733" s="490" t="s">
        <v>2713</v>
      </c>
      <c r="C733" s="533" t="s">
        <v>2714</v>
      </c>
      <c r="D733" s="491" t="s">
        <v>2710</v>
      </c>
      <c r="E733" s="466" t="str">
        <f t="shared" si="12"/>
        <v>KD</v>
      </c>
      <c r="F733" s="467">
        <v>2000</v>
      </c>
      <c r="H733" s="467">
        <v>0</v>
      </c>
    </row>
    <row r="734" spans="1:8" hidden="1">
      <c r="A734" s="489" t="s">
        <v>2715</v>
      </c>
      <c r="B734" s="490" t="s">
        <v>2713</v>
      </c>
      <c r="C734" s="533" t="s">
        <v>2716</v>
      </c>
      <c r="D734" s="491" t="s">
        <v>2710</v>
      </c>
      <c r="E734" s="466" t="str">
        <f t="shared" si="12"/>
        <v>KD</v>
      </c>
      <c r="F734" s="467">
        <v>2000</v>
      </c>
      <c r="H734" s="467" t="e">
        <v>#N/A</v>
      </c>
    </row>
    <row r="735" spans="1:8" hidden="1">
      <c r="A735" s="489" t="s">
        <v>2717</v>
      </c>
      <c r="B735" s="490" t="s">
        <v>2718</v>
      </c>
      <c r="C735" s="533" t="s">
        <v>2719</v>
      </c>
      <c r="D735" s="491" t="s">
        <v>2710</v>
      </c>
      <c r="E735" s="466" t="str">
        <f t="shared" si="12"/>
        <v>KD</v>
      </c>
      <c r="F735" s="467">
        <v>2000</v>
      </c>
      <c r="H735" s="467" t="e">
        <v>#N/A</v>
      </c>
    </row>
    <row r="736" spans="1:8" hidden="1">
      <c r="A736" s="489" t="s">
        <v>2720</v>
      </c>
      <c r="B736" s="490" t="s">
        <v>2721</v>
      </c>
      <c r="C736" s="533" t="s">
        <v>2722</v>
      </c>
      <c r="D736" s="491" t="s">
        <v>2710</v>
      </c>
      <c r="E736" s="466" t="str">
        <f t="shared" si="12"/>
        <v>KD</v>
      </c>
      <c r="F736" s="467">
        <v>2000</v>
      </c>
      <c r="H736" s="467" t="e">
        <v>#N/A</v>
      </c>
    </row>
    <row r="737" spans="1:8" hidden="1">
      <c r="A737" s="473" t="s">
        <v>2723</v>
      </c>
      <c r="B737" s="477" t="s">
        <v>2171</v>
      </c>
      <c r="C737" s="531" t="s">
        <v>2724</v>
      </c>
      <c r="D737" s="475" t="s">
        <v>411</v>
      </c>
      <c r="E737" s="466" t="str">
        <f t="shared" si="12"/>
        <v>LS</v>
      </c>
      <c r="F737" s="467">
        <v>2000</v>
      </c>
      <c r="H737" s="467" t="e">
        <v>#N/A</v>
      </c>
    </row>
    <row r="738" spans="1:8" hidden="1">
      <c r="A738" s="473" t="s">
        <v>2725</v>
      </c>
      <c r="B738" s="477" t="s">
        <v>2726</v>
      </c>
      <c r="C738" s="531" t="s">
        <v>2727</v>
      </c>
      <c r="D738" s="475" t="s">
        <v>411</v>
      </c>
      <c r="E738" s="466" t="str">
        <f t="shared" si="12"/>
        <v>LS</v>
      </c>
      <c r="F738" s="467">
        <v>2000</v>
      </c>
      <c r="H738" s="467" t="e">
        <v>#N/A</v>
      </c>
    </row>
    <row r="739" spans="1:8" hidden="1">
      <c r="A739" s="473" t="s">
        <v>2728</v>
      </c>
      <c r="B739" s="477" t="s">
        <v>2729</v>
      </c>
      <c r="C739" s="531" t="s">
        <v>2730</v>
      </c>
      <c r="D739" s="475" t="s">
        <v>411</v>
      </c>
      <c r="E739" s="466" t="str">
        <f t="shared" si="12"/>
        <v>LS</v>
      </c>
      <c r="F739" s="467">
        <v>2000</v>
      </c>
      <c r="H739" s="467" t="e">
        <v>#N/A</v>
      </c>
    </row>
    <row r="740" spans="1:8" s="478" customFormat="1" hidden="1">
      <c r="A740" s="473" t="s">
        <v>2731</v>
      </c>
      <c r="B740" s="477" t="s">
        <v>2732</v>
      </c>
      <c r="C740" s="531" t="s">
        <v>2733</v>
      </c>
      <c r="D740" s="475" t="s">
        <v>411</v>
      </c>
      <c r="E740" s="466" t="str">
        <f t="shared" si="12"/>
        <v>LS</v>
      </c>
      <c r="F740" s="467">
        <v>2000</v>
      </c>
      <c r="H740" s="467" t="e">
        <v>#N/A</v>
      </c>
    </row>
    <row r="741" spans="1:8" s="478" customFormat="1" hidden="1">
      <c r="A741" s="473" t="s">
        <v>2734</v>
      </c>
      <c r="B741" s="477" t="s">
        <v>2735</v>
      </c>
      <c r="C741" s="531" t="s">
        <v>2736</v>
      </c>
      <c r="D741" s="475" t="s">
        <v>411</v>
      </c>
      <c r="E741" s="466" t="str">
        <f t="shared" si="12"/>
        <v>LS</v>
      </c>
      <c r="F741" s="467">
        <v>2000</v>
      </c>
      <c r="H741" s="467" t="e">
        <v>#N/A</v>
      </c>
    </row>
    <row r="742" spans="1:8" hidden="1">
      <c r="A742" s="473" t="s">
        <v>2737</v>
      </c>
      <c r="B742" s="477" t="s">
        <v>2738</v>
      </c>
      <c r="C742" s="531" t="s">
        <v>2739</v>
      </c>
      <c r="D742" s="475" t="s">
        <v>411</v>
      </c>
      <c r="E742" s="466" t="str">
        <f t="shared" si="12"/>
        <v>LP</v>
      </c>
      <c r="F742" s="467">
        <v>2000</v>
      </c>
      <c r="H742" s="467" t="e">
        <v>#N/A</v>
      </c>
    </row>
    <row r="743" spans="1:8" hidden="1">
      <c r="A743" s="473" t="s">
        <v>2740</v>
      </c>
      <c r="B743" s="477" t="s">
        <v>2741</v>
      </c>
      <c r="C743" s="531" t="s">
        <v>2742</v>
      </c>
      <c r="D743" s="475" t="s">
        <v>411</v>
      </c>
      <c r="E743" s="466" t="str">
        <f t="shared" si="12"/>
        <v>LP</v>
      </c>
      <c r="F743" s="467">
        <v>2000</v>
      </c>
      <c r="H743" s="467" t="e">
        <v>#N/A</v>
      </c>
    </row>
    <row r="744" spans="1:8" hidden="1">
      <c r="A744" s="473" t="s">
        <v>2743</v>
      </c>
      <c r="B744" s="477" t="s">
        <v>2744</v>
      </c>
      <c r="C744" s="531" t="s">
        <v>2745</v>
      </c>
      <c r="D744" s="475" t="s">
        <v>411</v>
      </c>
      <c r="E744" s="466" t="str">
        <f t="shared" si="12"/>
        <v>LP</v>
      </c>
      <c r="F744" s="467">
        <v>2000</v>
      </c>
      <c r="H744" s="467" t="s">
        <v>411</v>
      </c>
    </row>
    <row r="745" spans="1:8" hidden="1">
      <c r="A745" s="473" t="s">
        <v>2746</v>
      </c>
      <c r="B745" s="477" t="s">
        <v>2747</v>
      </c>
      <c r="C745" s="531" t="s">
        <v>2748</v>
      </c>
      <c r="D745" s="475" t="s">
        <v>411</v>
      </c>
      <c r="E745" s="466" t="str">
        <f t="shared" si="12"/>
        <v>LP</v>
      </c>
      <c r="F745" s="467">
        <v>2000</v>
      </c>
      <c r="H745" s="467" t="s">
        <v>411</v>
      </c>
    </row>
    <row r="746" spans="1:8" s="478" customFormat="1" hidden="1">
      <c r="A746" s="473" t="s">
        <v>2749</v>
      </c>
      <c r="B746" s="477" t="s">
        <v>2738</v>
      </c>
      <c r="C746" s="531" t="s">
        <v>2750</v>
      </c>
      <c r="D746" s="475" t="s">
        <v>411</v>
      </c>
      <c r="E746" s="466" t="str">
        <f t="shared" si="12"/>
        <v>LP</v>
      </c>
      <c r="F746" s="467">
        <v>2000</v>
      </c>
      <c r="H746" s="467" t="e">
        <v>#N/A</v>
      </c>
    </row>
    <row r="747" spans="1:8" s="478" customFormat="1" hidden="1">
      <c r="A747" s="473" t="s">
        <v>2751</v>
      </c>
      <c r="B747" s="474" t="s">
        <v>2752</v>
      </c>
      <c r="C747" s="531" t="s">
        <v>2753</v>
      </c>
      <c r="D747" s="475" t="s">
        <v>411</v>
      </c>
      <c r="E747" s="466" t="str">
        <f t="shared" si="12"/>
        <v>LP</v>
      </c>
      <c r="F747" s="467">
        <v>2000</v>
      </c>
      <c r="H747" s="467" t="e">
        <v>#N/A</v>
      </c>
    </row>
    <row r="748" spans="1:8" s="478" customFormat="1" hidden="1">
      <c r="A748" s="494" t="s">
        <v>2754</v>
      </c>
      <c r="B748" s="538" t="s">
        <v>2755</v>
      </c>
      <c r="C748" s="532" t="s">
        <v>2756</v>
      </c>
      <c r="D748" s="495" t="s">
        <v>411</v>
      </c>
      <c r="E748" s="466" t="str">
        <f t="shared" si="12"/>
        <v>KC</v>
      </c>
      <c r="F748" s="467">
        <v>2000</v>
      </c>
      <c r="H748" s="467" t="e">
        <v>#N/A</v>
      </c>
    </row>
    <row r="749" spans="1:8" s="478" customFormat="1" hidden="1">
      <c r="A749" s="494" t="s">
        <v>2757</v>
      </c>
      <c r="B749" s="538" t="s">
        <v>2758</v>
      </c>
      <c r="C749" s="532" t="s">
        <v>2759</v>
      </c>
      <c r="D749" s="495" t="s">
        <v>411</v>
      </c>
      <c r="E749" s="466" t="str">
        <f t="shared" si="12"/>
        <v>KC</v>
      </c>
      <c r="F749" s="467">
        <v>2000</v>
      </c>
      <c r="H749" s="467" t="e">
        <v>#N/A</v>
      </c>
    </row>
    <row r="750" spans="1:8" s="478" customFormat="1" hidden="1">
      <c r="A750" s="494" t="s">
        <v>2760</v>
      </c>
      <c r="B750" s="538" t="s">
        <v>2761</v>
      </c>
      <c r="C750" s="532" t="s">
        <v>2762</v>
      </c>
      <c r="D750" s="495" t="s">
        <v>411</v>
      </c>
      <c r="E750" s="466" t="str">
        <f t="shared" si="12"/>
        <v>KC</v>
      </c>
      <c r="F750" s="467">
        <v>2000</v>
      </c>
      <c r="H750" s="467">
        <v>0</v>
      </c>
    </row>
    <row r="751" spans="1:8" s="478" customFormat="1" hidden="1">
      <c r="A751" s="494" t="s">
        <v>2763</v>
      </c>
      <c r="B751" s="538" t="s">
        <v>2764</v>
      </c>
      <c r="C751" s="532" t="s">
        <v>2765</v>
      </c>
      <c r="D751" s="495" t="s">
        <v>411</v>
      </c>
      <c r="E751" s="466" t="str">
        <f t="shared" si="12"/>
        <v>KC</v>
      </c>
      <c r="F751" s="467">
        <v>2000</v>
      </c>
      <c r="H751" s="467">
        <v>0</v>
      </c>
    </row>
    <row r="752" spans="1:8" s="478" customFormat="1" hidden="1">
      <c r="A752" s="494" t="s">
        <v>2766</v>
      </c>
      <c r="B752" s="538" t="s">
        <v>2767</v>
      </c>
      <c r="C752" s="532" t="s">
        <v>2768</v>
      </c>
      <c r="D752" s="495" t="s">
        <v>411</v>
      </c>
      <c r="E752" s="466" t="str">
        <f t="shared" si="12"/>
        <v>KC</v>
      </c>
      <c r="F752" s="467">
        <v>2000</v>
      </c>
      <c r="H752" s="467" t="s">
        <v>411</v>
      </c>
    </row>
    <row r="753" spans="1:8" s="478" customFormat="1" hidden="1">
      <c r="A753" s="494" t="s">
        <v>2769</v>
      </c>
      <c r="B753" s="538" t="s">
        <v>2770</v>
      </c>
      <c r="C753" s="532" t="s">
        <v>2771</v>
      </c>
      <c r="D753" s="495" t="s">
        <v>411</v>
      </c>
      <c r="E753" s="466" t="str">
        <f t="shared" si="12"/>
        <v>KC</v>
      </c>
      <c r="F753" s="467">
        <v>2000</v>
      </c>
      <c r="H753" s="467" t="e">
        <v>#N/A</v>
      </c>
    </row>
    <row r="754" spans="1:8" s="478" customFormat="1" hidden="1">
      <c r="A754" s="494" t="s">
        <v>2772</v>
      </c>
      <c r="B754" s="538" t="s">
        <v>2773</v>
      </c>
      <c r="C754" s="532" t="s">
        <v>2774</v>
      </c>
      <c r="D754" s="495" t="s">
        <v>411</v>
      </c>
      <c r="E754" s="466" t="str">
        <f t="shared" si="12"/>
        <v>KC</v>
      </c>
      <c r="F754" s="467">
        <v>2000</v>
      </c>
      <c r="H754" s="467" t="e">
        <v>#N/A</v>
      </c>
    </row>
    <row r="755" spans="1:8" s="478" customFormat="1" hidden="1">
      <c r="A755" s="494" t="s">
        <v>2775</v>
      </c>
      <c r="B755" s="538" t="s">
        <v>2776</v>
      </c>
      <c r="C755" s="532" t="s">
        <v>2777</v>
      </c>
      <c r="D755" s="495" t="s">
        <v>411</v>
      </c>
      <c r="E755" s="466" t="str">
        <f t="shared" si="12"/>
        <v>KC</v>
      </c>
      <c r="F755" s="467">
        <v>2000</v>
      </c>
      <c r="H755" s="467" t="e">
        <v>#N/A</v>
      </c>
    </row>
    <row r="756" spans="1:8" s="478" customFormat="1" hidden="1">
      <c r="A756" s="494" t="s">
        <v>2778</v>
      </c>
      <c r="B756" s="538" t="s">
        <v>2779</v>
      </c>
      <c r="C756" s="532" t="s">
        <v>2780</v>
      </c>
      <c r="D756" s="495" t="s">
        <v>411</v>
      </c>
      <c r="E756" s="466" t="str">
        <f t="shared" si="12"/>
        <v>KC</v>
      </c>
      <c r="F756" s="467">
        <v>2000</v>
      </c>
      <c r="H756" s="467" t="e">
        <v>#N/A</v>
      </c>
    </row>
    <row r="757" spans="1:8" s="478" customFormat="1" hidden="1">
      <c r="A757" s="473" t="s">
        <v>2781</v>
      </c>
      <c r="B757" s="477" t="s">
        <v>1643</v>
      </c>
      <c r="C757" s="531" t="s">
        <v>2782</v>
      </c>
      <c r="D757" s="475" t="s">
        <v>411</v>
      </c>
      <c r="E757" s="466" t="str">
        <f t="shared" si="12"/>
        <v>KC</v>
      </c>
      <c r="F757" s="467">
        <v>2000</v>
      </c>
      <c r="H757" s="467" t="e">
        <v>#N/A</v>
      </c>
    </row>
    <row r="758" spans="1:8" s="478" customFormat="1" hidden="1">
      <c r="A758" s="473" t="s">
        <v>2783</v>
      </c>
      <c r="B758" s="477" t="s">
        <v>2784</v>
      </c>
      <c r="C758" s="531" t="s">
        <v>2785</v>
      </c>
      <c r="D758" s="475" t="s">
        <v>411</v>
      </c>
      <c r="E758" s="466" t="str">
        <f t="shared" si="12"/>
        <v>KC</v>
      </c>
      <c r="F758" s="467">
        <v>2000</v>
      </c>
      <c r="H758" s="467" t="s">
        <v>411</v>
      </c>
    </row>
    <row r="759" spans="1:8" s="478" customFormat="1" hidden="1">
      <c r="A759" s="473" t="s">
        <v>2786</v>
      </c>
      <c r="B759" s="477" t="s">
        <v>2787</v>
      </c>
      <c r="C759" s="531" t="s">
        <v>2788</v>
      </c>
      <c r="D759" s="475" t="s">
        <v>411</v>
      </c>
      <c r="E759" s="466" t="str">
        <f t="shared" si="12"/>
        <v>KC</v>
      </c>
      <c r="F759" s="467">
        <v>2000</v>
      </c>
      <c r="H759" s="467" t="e">
        <v>#N/A</v>
      </c>
    </row>
    <row r="760" spans="1:8" s="478" customFormat="1" hidden="1">
      <c r="A760" s="473" t="s">
        <v>2789</v>
      </c>
      <c r="B760" s="477" t="s">
        <v>2790</v>
      </c>
      <c r="C760" s="531" t="s">
        <v>2791</v>
      </c>
      <c r="D760" s="475" t="s">
        <v>411</v>
      </c>
      <c r="E760" s="466" t="str">
        <f t="shared" si="12"/>
        <v>KC</v>
      </c>
      <c r="F760" s="467">
        <v>2000</v>
      </c>
      <c r="H760" s="467" t="e">
        <v>#N/A</v>
      </c>
    </row>
    <row r="761" spans="1:8" s="478" customFormat="1" hidden="1">
      <c r="A761" s="473" t="s">
        <v>2792</v>
      </c>
      <c r="B761" s="477" t="s">
        <v>2793</v>
      </c>
      <c r="C761" s="531" t="s">
        <v>2794</v>
      </c>
      <c r="D761" s="475" t="s">
        <v>411</v>
      </c>
      <c r="E761" s="466" t="str">
        <f t="shared" si="12"/>
        <v>KC</v>
      </c>
      <c r="F761" s="467">
        <v>2000</v>
      </c>
      <c r="H761" s="467" t="s">
        <v>411</v>
      </c>
    </row>
    <row r="762" spans="1:8" s="478" customFormat="1" hidden="1">
      <c r="A762" s="473" t="s">
        <v>2795</v>
      </c>
      <c r="B762" s="477" t="s">
        <v>2796</v>
      </c>
      <c r="C762" s="531" t="s">
        <v>2797</v>
      </c>
      <c r="D762" s="475" t="s">
        <v>411</v>
      </c>
      <c r="E762" s="466" t="str">
        <f t="shared" si="12"/>
        <v>KC</v>
      </c>
      <c r="F762" s="467">
        <v>2000</v>
      </c>
      <c r="H762" s="467" t="e">
        <v>#N/A</v>
      </c>
    </row>
    <row r="763" spans="1:8" s="478" customFormat="1" hidden="1">
      <c r="A763" s="473" t="s">
        <v>2798</v>
      </c>
      <c r="B763" s="477" t="s">
        <v>2799</v>
      </c>
      <c r="C763" s="531" t="s">
        <v>2800</v>
      </c>
      <c r="D763" s="475" t="s">
        <v>411</v>
      </c>
      <c r="E763" s="466" t="str">
        <f t="shared" si="12"/>
        <v>KC</v>
      </c>
      <c r="F763" s="467">
        <v>2000</v>
      </c>
      <c r="H763" s="467" t="e">
        <v>#N/A</v>
      </c>
    </row>
    <row r="764" spans="1:8" hidden="1">
      <c r="A764" s="489" t="s">
        <v>1075</v>
      </c>
      <c r="B764" s="490" t="s">
        <v>2801</v>
      </c>
      <c r="C764" s="533" t="s">
        <v>1045</v>
      </c>
      <c r="D764" s="491" t="s">
        <v>775</v>
      </c>
      <c r="E764" s="466" t="str">
        <f t="shared" si="12"/>
        <v>LS</v>
      </c>
      <c r="F764" s="467">
        <v>2000</v>
      </c>
      <c r="H764" s="467">
        <v>0</v>
      </c>
    </row>
    <row r="765" spans="1:8" hidden="1">
      <c r="A765" s="489" t="s">
        <v>1131</v>
      </c>
      <c r="B765" s="490" t="s">
        <v>2801</v>
      </c>
      <c r="C765" s="533" t="s">
        <v>2802</v>
      </c>
      <c r="D765" s="491" t="s">
        <v>775</v>
      </c>
      <c r="E765" s="466" t="str">
        <f t="shared" si="12"/>
        <v>LS</v>
      </c>
      <c r="F765" s="467">
        <v>2000</v>
      </c>
      <c r="H765" s="467">
        <v>0</v>
      </c>
    </row>
    <row r="766" spans="1:8" hidden="1">
      <c r="A766" s="489" t="s">
        <v>2803</v>
      </c>
      <c r="B766" s="490" t="s">
        <v>2804</v>
      </c>
      <c r="C766" s="533" t="s">
        <v>2805</v>
      </c>
      <c r="D766" s="491" t="s">
        <v>775</v>
      </c>
      <c r="E766" s="466" t="str">
        <f t="shared" si="12"/>
        <v>ls</v>
      </c>
      <c r="F766" s="467">
        <v>2000</v>
      </c>
      <c r="H766" s="467" t="e">
        <v>#N/A</v>
      </c>
    </row>
    <row r="767" spans="1:8" hidden="1">
      <c r="A767" s="489" t="s">
        <v>1040</v>
      </c>
      <c r="B767" s="490" t="s">
        <v>2806</v>
      </c>
      <c r="C767" s="533" t="s">
        <v>2807</v>
      </c>
      <c r="D767" s="491" t="s">
        <v>972</v>
      </c>
      <c r="E767" s="466" t="str">
        <f t="shared" si="12"/>
        <v>LC</v>
      </c>
      <c r="F767" s="467">
        <v>2000</v>
      </c>
      <c r="H767" s="467">
        <v>0</v>
      </c>
    </row>
    <row r="768" spans="1:8" hidden="1">
      <c r="A768" s="489" t="s">
        <v>1041</v>
      </c>
      <c r="B768" s="490" t="s">
        <v>2808</v>
      </c>
      <c r="C768" s="533" t="s">
        <v>2809</v>
      </c>
      <c r="D768" s="491" t="s">
        <v>972</v>
      </c>
      <c r="E768" s="466" t="str">
        <f t="shared" si="12"/>
        <v>LC</v>
      </c>
      <c r="F768" s="467">
        <v>2000</v>
      </c>
      <c r="H768" s="467">
        <v>0</v>
      </c>
    </row>
    <row r="769" spans="1:8" hidden="1">
      <c r="A769" s="489" t="s">
        <v>1042</v>
      </c>
      <c r="B769" s="490" t="s">
        <v>2810</v>
      </c>
      <c r="C769" s="533" t="s">
        <v>2811</v>
      </c>
      <c r="D769" s="491" t="s">
        <v>972</v>
      </c>
      <c r="E769" s="466" t="str">
        <f t="shared" si="12"/>
        <v>LC</v>
      </c>
      <c r="F769" s="467">
        <v>2000</v>
      </c>
      <c r="H769" s="467">
        <v>0</v>
      </c>
    </row>
    <row r="770" spans="1:8" hidden="1">
      <c r="A770" s="489" t="s">
        <v>2812</v>
      </c>
      <c r="B770" s="490" t="s">
        <v>2813</v>
      </c>
      <c r="C770" s="533" t="s">
        <v>2814</v>
      </c>
      <c r="D770" s="491" t="s">
        <v>972</v>
      </c>
      <c r="E770" s="466" t="str">
        <f t="shared" si="12"/>
        <v>LC</v>
      </c>
      <c r="F770" s="467">
        <v>2000</v>
      </c>
      <c r="H770" s="467" t="e">
        <v>#N/A</v>
      </c>
    </row>
    <row r="771" spans="1:8" hidden="1">
      <c r="A771" s="489" t="s">
        <v>1046</v>
      </c>
      <c r="B771" s="490" t="s">
        <v>2815</v>
      </c>
      <c r="C771" s="533" t="s">
        <v>2816</v>
      </c>
      <c r="D771" s="491" t="s">
        <v>775</v>
      </c>
      <c r="E771" s="466" t="str">
        <f t="shared" si="12"/>
        <v>LS</v>
      </c>
      <c r="F771" s="467">
        <v>2000</v>
      </c>
      <c r="H771" s="467">
        <v>0</v>
      </c>
    </row>
    <row r="772" spans="1:8" hidden="1">
      <c r="A772" s="489" t="s">
        <v>1239</v>
      </c>
      <c r="B772" s="490" t="s">
        <v>2817</v>
      </c>
      <c r="C772" s="533" t="s">
        <v>2818</v>
      </c>
      <c r="D772" s="491" t="s">
        <v>775</v>
      </c>
      <c r="E772" s="466" t="str">
        <f t="shared" si="12"/>
        <v>LR</v>
      </c>
      <c r="F772" s="467">
        <v>2000</v>
      </c>
      <c r="H772" s="467">
        <v>0</v>
      </c>
    </row>
    <row r="773" spans="1:8" hidden="1">
      <c r="A773" s="489" t="s">
        <v>1048</v>
      </c>
      <c r="B773" s="490" t="s">
        <v>2819</v>
      </c>
      <c r="C773" s="533" t="s">
        <v>2820</v>
      </c>
      <c r="D773" s="491" t="s">
        <v>775</v>
      </c>
      <c r="E773" s="466" t="str">
        <f t="shared" si="12"/>
        <v>LR</v>
      </c>
      <c r="F773" s="467">
        <v>2000</v>
      </c>
      <c r="H773" s="467">
        <v>0</v>
      </c>
    </row>
    <row r="774" spans="1:8" hidden="1">
      <c r="A774" s="489" t="s">
        <v>1240</v>
      </c>
      <c r="B774" s="490" t="s">
        <v>2821</v>
      </c>
      <c r="C774" s="533" t="s">
        <v>2822</v>
      </c>
      <c r="D774" s="491" t="s">
        <v>775</v>
      </c>
      <c r="E774" s="466" t="str">
        <f t="shared" si="12"/>
        <v>LR</v>
      </c>
      <c r="F774" s="467">
        <v>2000</v>
      </c>
      <c r="H774" s="467">
        <v>0</v>
      </c>
    </row>
    <row r="775" spans="1:8" s="478" customFormat="1" hidden="1">
      <c r="A775" s="473" t="s">
        <v>2823</v>
      </c>
      <c r="B775" s="474" t="s">
        <v>2824</v>
      </c>
      <c r="C775" s="531" t="s">
        <v>2825</v>
      </c>
      <c r="D775" s="475" t="s">
        <v>408</v>
      </c>
      <c r="E775" s="466" t="str">
        <f t="shared" si="12"/>
        <v>LT</v>
      </c>
      <c r="F775" s="467">
        <v>2000</v>
      </c>
      <c r="H775" s="467" t="e">
        <v>#N/A</v>
      </c>
    </row>
    <row r="776" spans="1:8" s="478" customFormat="1" hidden="1">
      <c r="A776" s="473" t="s">
        <v>1292</v>
      </c>
      <c r="B776" s="474" t="s">
        <v>2826</v>
      </c>
      <c r="C776" s="531" t="s">
        <v>2827</v>
      </c>
      <c r="D776" s="475" t="s">
        <v>775</v>
      </c>
      <c r="E776" s="466" t="str">
        <f t="shared" si="12"/>
        <v>LS</v>
      </c>
      <c r="F776" s="467">
        <v>2000</v>
      </c>
      <c r="H776" s="467">
        <v>0</v>
      </c>
    </row>
    <row r="777" spans="1:8" s="478" customFormat="1" hidden="1">
      <c r="A777" s="473" t="s">
        <v>1293</v>
      </c>
      <c r="B777" s="474" t="s">
        <v>2828</v>
      </c>
      <c r="C777" s="531" t="s">
        <v>2829</v>
      </c>
      <c r="D777" s="475" t="s">
        <v>775</v>
      </c>
      <c r="E777" s="466" t="str">
        <f t="shared" si="12"/>
        <v>LC</v>
      </c>
      <c r="F777" s="467">
        <v>2000</v>
      </c>
      <c r="H777" s="467">
        <v>0</v>
      </c>
    </row>
    <row r="778" spans="1:8" s="478" customFormat="1" hidden="1">
      <c r="A778" s="473" t="s">
        <v>1294</v>
      </c>
      <c r="B778" s="474" t="s">
        <v>2830</v>
      </c>
      <c r="C778" s="531" t="s">
        <v>2831</v>
      </c>
      <c r="D778" s="475" t="s">
        <v>2832</v>
      </c>
      <c r="E778" s="466" t="str">
        <f t="shared" si="12"/>
        <v>DN</v>
      </c>
      <c r="F778" s="467">
        <v>2000</v>
      </c>
      <c r="H778" s="467">
        <v>0</v>
      </c>
    </row>
    <row r="779" spans="1:8" s="478" customFormat="1" hidden="1">
      <c r="A779" s="473" t="s">
        <v>1295</v>
      </c>
      <c r="B779" s="474" t="s">
        <v>2833</v>
      </c>
      <c r="C779" s="531" t="s">
        <v>2834</v>
      </c>
      <c r="D779" s="475" t="s">
        <v>775</v>
      </c>
      <c r="E779" s="466" t="str">
        <f t="shared" si="12"/>
        <v>LX</v>
      </c>
      <c r="F779" s="467">
        <v>2000</v>
      </c>
      <c r="H779" s="467">
        <v>0</v>
      </c>
    </row>
    <row r="780" spans="1:8" s="478" customFormat="1" hidden="1">
      <c r="A780" s="473" t="s">
        <v>1296</v>
      </c>
      <c r="B780" s="474" t="s">
        <v>2835</v>
      </c>
      <c r="C780" s="531" t="s">
        <v>2836</v>
      </c>
      <c r="D780" s="475" t="s">
        <v>775</v>
      </c>
      <c r="E780" s="466" t="str">
        <f t="shared" si="12"/>
        <v>LS</v>
      </c>
      <c r="F780" s="467">
        <v>2000</v>
      </c>
      <c r="H780" s="467">
        <v>0</v>
      </c>
    </row>
    <row r="781" spans="1:8" s="478" customFormat="1" hidden="1">
      <c r="A781" s="473" t="s">
        <v>1297</v>
      </c>
      <c r="B781" s="474" t="s">
        <v>2837</v>
      </c>
      <c r="C781" s="531" t="s">
        <v>2838</v>
      </c>
      <c r="D781" s="475" t="s">
        <v>775</v>
      </c>
      <c r="E781" s="466" t="str">
        <f t="shared" si="12"/>
        <v>LF</v>
      </c>
      <c r="F781" s="467">
        <v>2000</v>
      </c>
      <c r="H781" s="467">
        <v>0</v>
      </c>
    </row>
    <row r="782" spans="1:8" s="478" customFormat="1" hidden="1">
      <c r="A782" s="473" t="s">
        <v>1298</v>
      </c>
      <c r="B782" s="474" t="s">
        <v>2837</v>
      </c>
      <c r="C782" s="531" t="s">
        <v>2839</v>
      </c>
      <c r="D782" s="475" t="s">
        <v>281</v>
      </c>
      <c r="E782" s="466" t="str">
        <f t="shared" si="12"/>
        <v>LL</v>
      </c>
      <c r="F782" s="467">
        <v>2000</v>
      </c>
      <c r="H782" s="467">
        <v>0</v>
      </c>
    </row>
    <row r="783" spans="1:8" hidden="1">
      <c r="A783" s="463" t="s">
        <v>1241</v>
      </c>
      <c r="B783" s="488" t="s">
        <v>2840</v>
      </c>
      <c r="C783" s="523" t="s">
        <v>2841</v>
      </c>
      <c r="D783" s="465" t="s">
        <v>281</v>
      </c>
      <c r="E783" s="466" t="str">
        <f t="shared" ref="E783:E846" si="13">LEFT(A783,2)</f>
        <v>LB</v>
      </c>
      <c r="F783" s="467">
        <v>2000</v>
      </c>
      <c r="H783" s="467">
        <v>0</v>
      </c>
    </row>
    <row r="784" spans="1:8" hidden="1">
      <c r="A784" s="469" t="s">
        <v>2842</v>
      </c>
      <c r="B784" s="485" t="s">
        <v>1651</v>
      </c>
      <c r="C784" s="536" t="s">
        <v>2843</v>
      </c>
      <c r="D784" s="471" t="s">
        <v>2081</v>
      </c>
      <c r="E784" s="466" t="str">
        <f t="shared" si="13"/>
        <v>Lc</v>
      </c>
      <c r="F784" s="467">
        <v>2000</v>
      </c>
      <c r="H784" s="467" t="s">
        <v>2081</v>
      </c>
    </row>
    <row r="785" spans="1:8" hidden="1">
      <c r="A785" s="469" t="s">
        <v>2844</v>
      </c>
      <c r="B785" s="485" t="s">
        <v>2845</v>
      </c>
      <c r="C785" s="536" t="s">
        <v>2846</v>
      </c>
      <c r="D785" s="471" t="s">
        <v>2081</v>
      </c>
      <c r="E785" s="466" t="str">
        <f t="shared" si="13"/>
        <v>Lc</v>
      </c>
      <c r="F785" s="467">
        <v>2000</v>
      </c>
      <c r="H785" s="467" t="s">
        <v>2081</v>
      </c>
    </row>
    <row r="786" spans="1:8" hidden="1">
      <c r="A786" s="469" t="s">
        <v>2847</v>
      </c>
      <c r="B786" s="485" t="s">
        <v>2848</v>
      </c>
      <c r="C786" s="536" t="s">
        <v>2849</v>
      </c>
      <c r="D786" s="471" t="s">
        <v>2081</v>
      </c>
      <c r="E786" s="466" t="str">
        <f t="shared" si="13"/>
        <v>Lc</v>
      </c>
      <c r="F786" s="467">
        <v>2000</v>
      </c>
      <c r="H786" s="467" t="s">
        <v>2081</v>
      </c>
    </row>
    <row r="787" spans="1:8" hidden="1">
      <c r="A787" s="479" t="s">
        <v>1050</v>
      </c>
      <c r="B787" s="483" t="s">
        <v>2850</v>
      </c>
      <c r="C787" s="534" t="s">
        <v>2851</v>
      </c>
      <c r="D787" s="481" t="s">
        <v>281</v>
      </c>
      <c r="E787" s="466" t="str">
        <f t="shared" si="13"/>
        <v>LF</v>
      </c>
      <c r="F787" s="467">
        <v>2000</v>
      </c>
      <c r="H787" s="467">
        <v>0</v>
      </c>
    </row>
    <row r="788" spans="1:8" hidden="1">
      <c r="A788" s="479" t="s">
        <v>2852</v>
      </c>
      <c r="B788" s="483" t="s">
        <v>2850</v>
      </c>
      <c r="C788" s="534" t="s">
        <v>2853</v>
      </c>
      <c r="D788" s="481" t="s">
        <v>281</v>
      </c>
      <c r="E788" s="466" t="str">
        <f t="shared" si="13"/>
        <v>LL</v>
      </c>
      <c r="F788" s="467">
        <v>2000</v>
      </c>
      <c r="H788" s="467" t="e">
        <v>#N/A</v>
      </c>
    </row>
    <row r="789" spans="1:8" hidden="1">
      <c r="A789" s="479" t="s">
        <v>1055</v>
      </c>
      <c r="B789" s="483" t="s">
        <v>2018</v>
      </c>
      <c r="C789" s="534" t="s">
        <v>1057</v>
      </c>
      <c r="D789" s="481" t="s">
        <v>775</v>
      </c>
      <c r="E789" s="466" t="str">
        <f t="shared" si="13"/>
        <v>LG</v>
      </c>
      <c r="F789" s="467">
        <v>2000</v>
      </c>
      <c r="H789" s="467">
        <v>0</v>
      </c>
    </row>
    <row r="790" spans="1:8" hidden="1">
      <c r="A790" s="463" t="s">
        <v>2854</v>
      </c>
      <c r="B790" s="488" t="s">
        <v>2855</v>
      </c>
      <c r="C790" s="523" t="s">
        <v>2856</v>
      </c>
      <c r="D790" s="465" t="s">
        <v>1814</v>
      </c>
      <c r="E790" s="466" t="str">
        <f t="shared" si="13"/>
        <v>PT</v>
      </c>
      <c r="F790" s="467">
        <v>2000</v>
      </c>
      <c r="H790" s="467" t="e">
        <v>#N/A</v>
      </c>
    </row>
    <row r="791" spans="1:8" hidden="1">
      <c r="A791" s="463" t="s">
        <v>2857</v>
      </c>
      <c r="B791" s="488" t="s">
        <v>2858</v>
      </c>
      <c r="C791" s="523" t="s">
        <v>2859</v>
      </c>
      <c r="D791" s="465" t="s">
        <v>1814</v>
      </c>
      <c r="E791" s="466" t="str">
        <f t="shared" si="13"/>
        <v>PH</v>
      </c>
      <c r="F791" s="467">
        <v>2000</v>
      </c>
      <c r="H791" s="467" t="e">
        <v>#N/A</v>
      </c>
    </row>
    <row r="792" spans="1:8" hidden="1">
      <c r="B792" s="540"/>
      <c r="C792" s="541"/>
      <c r="D792" s="542"/>
      <c r="E792" s="466" t="str">
        <f t="shared" si="13"/>
        <v/>
      </c>
      <c r="H792" s="467">
        <v>0</v>
      </c>
    </row>
    <row r="793" spans="1:8" hidden="1">
      <c r="B793" s="543"/>
      <c r="C793" s="544"/>
      <c r="D793" s="545"/>
      <c r="E793" s="466" t="str">
        <f t="shared" si="13"/>
        <v/>
      </c>
      <c r="H793" s="467">
        <v>0</v>
      </c>
    </row>
    <row r="794" spans="1:8" hidden="1">
      <c r="B794" s="543"/>
      <c r="C794" s="544"/>
      <c r="D794" s="545"/>
      <c r="E794" s="466" t="str">
        <f t="shared" si="13"/>
        <v/>
      </c>
      <c r="H794" s="467">
        <v>0</v>
      </c>
    </row>
    <row r="795" spans="1:8" hidden="1">
      <c r="A795" s="544"/>
      <c r="B795" s="546"/>
      <c r="C795" s="547"/>
      <c r="D795" s="545"/>
      <c r="E795" s="466" t="str">
        <f t="shared" si="13"/>
        <v/>
      </c>
      <c r="H795" s="467">
        <v>0</v>
      </c>
    </row>
    <row r="796" spans="1:8" hidden="1">
      <c r="A796" s="466" t="s">
        <v>2860</v>
      </c>
      <c r="B796" s="548"/>
      <c r="C796" s="466"/>
      <c r="D796" s="517"/>
      <c r="E796" s="466" t="str">
        <f t="shared" si="13"/>
        <v>Bả</v>
      </c>
      <c r="H796" s="467" t="e">
        <v>#N/A</v>
      </c>
    </row>
    <row r="797" spans="1:8" hidden="1">
      <c r="A797" s="466"/>
      <c r="B797" s="548"/>
      <c r="C797" s="466"/>
      <c r="D797" s="516"/>
      <c r="E797" s="466" t="str">
        <f t="shared" si="13"/>
        <v/>
      </c>
      <c r="H797" s="467">
        <v>0</v>
      </c>
    </row>
    <row r="798" spans="1:8" hidden="1">
      <c r="A798" s="518" t="s">
        <v>1388</v>
      </c>
      <c r="B798" s="520" t="s">
        <v>1389</v>
      </c>
      <c r="C798" s="518" t="s">
        <v>2187</v>
      </c>
      <c r="D798" s="520" t="s">
        <v>442</v>
      </c>
      <c r="E798" s="466" t="str">
        <f t="shared" si="13"/>
        <v>Mã</v>
      </c>
      <c r="H798" s="467" t="s">
        <v>434</v>
      </c>
    </row>
    <row r="799" spans="1:8" hidden="1">
      <c r="A799" s="518">
        <v>1</v>
      </c>
      <c r="B799" s="520">
        <v>2</v>
      </c>
      <c r="C799" s="518">
        <v>3</v>
      </c>
      <c r="D799" s="520">
        <v>4</v>
      </c>
      <c r="E799" s="466" t="str">
        <f t="shared" si="13"/>
        <v>1</v>
      </c>
      <c r="H799" s="467">
        <v>0</v>
      </c>
    </row>
    <row r="800" spans="1:8" hidden="1">
      <c r="A800" s="479" t="s">
        <v>2861</v>
      </c>
      <c r="B800" s="480" t="s">
        <v>2862</v>
      </c>
      <c r="C800" s="534" t="s">
        <v>2863</v>
      </c>
      <c r="D800" s="481" t="s">
        <v>2864</v>
      </c>
      <c r="E800" s="466" t="str">
        <f t="shared" si="13"/>
        <v>TR</v>
      </c>
      <c r="F800" s="467">
        <v>1</v>
      </c>
      <c r="G800" s="467" t="s">
        <v>28</v>
      </c>
      <c r="H800" s="467" t="e">
        <v>#N/A</v>
      </c>
    </row>
    <row r="801" spans="1:8" hidden="1">
      <c r="A801" s="479" t="s">
        <v>2865</v>
      </c>
      <c r="B801" s="480" t="s">
        <v>2862</v>
      </c>
      <c r="C801" s="534" t="s">
        <v>2866</v>
      </c>
      <c r="D801" s="481" t="s">
        <v>2864</v>
      </c>
      <c r="E801" s="466" t="str">
        <f t="shared" si="13"/>
        <v>TR</v>
      </c>
      <c r="F801" s="467">
        <v>1</v>
      </c>
      <c r="G801" s="467" t="s">
        <v>28</v>
      </c>
      <c r="H801" s="467" t="e">
        <v>#N/A</v>
      </c>
    </row>
    <row r="802" spans="1:8" hidden="1">
      <c r="A802" s="479" t="s">
        <v>2867</v>
      </c>
      <c r="B802" s="480" t="s">
        <v>2868</v>
      </c>
      <c r="C802" s="534" t="s">
        <v>2869</v>
      </c>
      <c r="D802" s="481" t="s">
        <v>2864</v>
      </c>
      <c r="E802" s="466" t="str">
        <f t="shared" si="13"/>
        <v>TR</v>
      </c>
      <c r="F802" s="467">
        <v>1</v>
      </c>
      <c r="G802" s="467" t="s">
        <v>28</v>
      </c>
      <c r="H802" s="467" t="s">
        <v>2864</v>
      </c>
    </row>
    <row r="803" spans="1:8" hidden="1">
      <c r="A803" s="479" t="s">
        <v>2870</v>
      </c>
      <c r="B803" s="480" t="s">
        <v>2868</v>
      </c>
      <c r="C803" s="534" t="s">
        <v>2871</v>
      </c>
      <c r="D803" s="481" t="s">
        <v>2864</v>
      </c>
      <c r="E803" s="466" t="str">
        <f t="shared" si="13"/>
        <v>TR</v>
      </c>
      <c r="F803" s="467">
        <v>1</v>
      </c>
      <c r="G803" s="467" t="s">
        <v>28</v>
      </c>
      <c r="H803" s="467" t="e">
        <v>#N/A</v>
      </c>
    </row>
    <row r="804" spans="1:8" hidden="1">
      <c r="A804" s="479" t="s">
        <v>2872</v>
      </c>
      <c r="B804" s="480" t="s">
        <v>2873</v>
      </c>
      <c r="C804" s="534" t="s">
        <v>2874</v>
      </c>
      <c r="D804" s="481" t="s">
        <v>2864</v>
      </c>
      <c r="E804" s="466" t="str">
        <f t="shared" si="13"/>
        <v>TR</v>
      </c>
      <c r="F804" s="467">
        <v>1</v>
      </c>
      <c r="G804" s="467" t="s">
        <v>28</v>
      </c>
      <c r="H804" s="467" t="e">
        <v>#N/A</v>
      </c>
    </row>
    <row r="805" spans="1:8" hidden="1">
      <c r="A805" s="479" t="s">
        <v>2875</v>
      </c>
      <c r="B805" s="483" t="s">
        <v>2876</v>
      </c>
      <c r="C805" s="534" t="s">
        <v>2877</v>
      </c>
      <c r="D805" s="481" t="s">
        <v>2864</v>
      </c>
      <c r="E805" s="466" t="str">
        <f t="shared" si="13"/>
        <v>T1</v>
      </c>
      <c r="F805" s="467">
        <v>1</v>
      </c>
      <c r="G805" s="467" t="s">
        <v>28</v>
      </c>
      <c r="H805" s="467" t="e">
        <v>#N/A</v>
      </c>
    </row>
    <row r="806" spans="1:8" hidden="1">
      <c r="A806" s="549" t="s">
        <v>2878</v>
      </c>
      <c r="B806" s="550" t="s">
        <v>2862</v>
      </c>
      <c r="C806" s="551" t="s">
        <v>2879</v>
      </c>
      <c r="D806" s="552" t="s">
        <v>2864</v>
      </c>
      <c r="E806" s="466" t="str">
        <f t="shared" si="13"/>
        <v>TR</v>
      </c>
      <c r="F806" s="467">
        <v>1</v>
      </c>
      <c r="G806" s="467" t="s">
        <v>28</v>
      </c>
      <c r="H806" s="467" t="s">
        <v>2864</v>
      </c>
    </row>
    <row r="807" spans="1:8" hidden="1">
      <c r="A807" s="549" t="s">
        <v>2880</v>
      </c>
      <c r="B807" s="550" t="s">
        <v>2862</v>
      </c>
      <c r="C807" s="551" t="s">
        <v>2881</v>
      </c>
      <c r="D807" s="552" t="s">
        <v>2864</v>
      </c>
      <c r="E807" s="466" t="str">
        <f t="shared" si="13"/>
        <v>TR</v>
      </c>
      <c r="F807" s="467">
        <v>1</v>
      </c>
      <c r="G807" s="467" t="s">
        <v>28</v>
      </c>
      <c r="H807" s="467" t="s">
        <v>2864</v>
      </c>
    </row>
    <row r="808" spans="1:8" hidden="1">
      <c r="A808" s="549" t="s">
        <v>2882</v>
      </c>
      <c r="B808" s="550" t="s">
        <v>2883</v>
      </c>
      <c r="C808" s="551" t="s">
        <v>2884</v>
      </c>
      <c r="D808" s="552" t="s">
        <v>2864</v>
      </c>
      <c r="E808" s="466" t="str">
        <f t="shared" si="13"/>
        <v>TR</v>
      </c>
      <c r="F808" s="467">
        <v>1</v>
      </c>
      <c r="G808" s="467" t="s">
        <v>28</v>
      </c>
      <c r="H808" s="467" t="s">
        <v>2864</v>
      </c>
    </row>
    <row r="809" spans="1:8" hidden="1">
      <c r="A809" s="549" t="s">
        <v>2885</v>
      </c>
      <c r="B809" s="550" t="s">
        <v>2868</v>
      </c>
      <c r="C809" s="551" t="s">
        <v>2886</v>
      </c>
      <c r="D809" s="552" t="s">
        <v>2864</v>
      </c>
      <c r="E809" s="466" t="str">
        <f t="shared" si="13"/>
        <v>TR</v>
      </c>
      <c r="F809" s="467">
        <v>1</v>
      </c>
      <c r="G809" s="467" t="s">
        <v>28</v>
      </c>
      <c r="H809" s="467" t="s">
        <v>2864</v>
      </c>
    </row>
    <row r="810" spans="1:8" hidden="1">
      <c r="A810" s="549" t="s">
        <v>2887</v>
      </c>
      <c r="B810" s="550" t="s">
        <v>2873</v>
      </c>
      <c r="C810" s="551" t="s">
        <v>2888</v>
      </c>
      <c r="D810" s="552" t="s">
        <v>2864</v>
      </c>
      <c r="E810" s="466" t="str">
        <f t="shared" si="13"/>
        <v>TR</v>
      </c>
      <c r="F810" s="467">
        <v>1</v>
      </c>
      <c r="G810" s="467" t="s">
        <v>28</v>
      </c>
      <c r="H810" s="467" t="s">
        <v>2864</v>
      </c>
    </row>
    <row r="811" spans="1:8" hidden="1">
      <c r="A811" s="549" t="s">
        <v>2889</v>
      </c>
      <c r="B811" s="553" t="s">
        <v>2876</v>
      </c>
      <c r="C811" s="551" t="s">
        <v>2890</v>
      </c>
      <c r="D811" s="552" t="s">
        <v>2864</v>
      </c>
      <c r="E811" s="466" t="str">
        <f t="shared" si="13"/>
        <v>T1</v>
      </c>
      <c r="F811" s="467">
        <v>1</v>
      </c>
      <c r="G811" s="467" t="s">
        <v>28</v>
      </c>
      <c r="H811" s="467" t="e">
        <v>#N/A</v>
      </c>
    </row>
    <row r="812" spans="1:8" hidden="1">
      <c r="A812" s="532" t="s">
        <v>2891</v>
      </c>
      <c r="B812" s="554" t="s">
        <v>2892</v>
      </c>
      <c r="C812" s="532" t="s">
        <v>2893</v>
      </c>
      <c r="D812" s="495" t="s">
        <v>2864</v>
      </c>
      <c r="E812" s="466" t="str">
        <f t="shared" si="13"/>
        <v>TR</v>
      </c>
      <c r="F812" s="467">
        <v>1</v>
      </c>
      <c r="G812" s="467" t="s">
        <v>28</v>
      </c>
      <c r="H812" s="467" t="e">
        <v>#N/A</v>
      </c>
    </row>
    <row r="813" spans="1:8" hidden="1">
      <c r="A813" s="532" t="s">
        <v>2894</v>
      </c>
      <c r="B813" s="554" t="s">
        <v>2895</v>
      </c>
      <c r="C813" s="532" t="s">
        <v>2896</v>
      </c>
      <c r="D813" s="495" t="s">
        <v>2864</v>
      </c>
      <c r="E813" s="466" t="str">
        <f t="shared" si="13"/>
        <v>TR</v>
      </c>
      <c r="F813" s="467">
        <v>1</v>
      </c>
      <c r="G813" s="467" t="s">
        <v>28</v>
      </c>
      <c r="H813" s="467" t="e">
        <v>#N/A</v>
      </c>
    </row>
    <row r="814" spans="1:8" hidden="1">
      <c r="A814" s="532" t="s">
        <v>2897</v>
      </c>
      <c r="B814" s="554" t="s">
        <v>2895</v>
      </c>
      <c r="C814" s="532" t="s">
        <v>2898</v>
      </c>
      <c r="D814" s="495" t="s">
        <v>2864</v>
      </c>
      <c r="E814" s="466" t="str">
        <f t="shared" si="13"/>
        <v>TR</v>
      </c>
      <c r="F814" s="467">
        <v>1</v>
      </c>
      <c r="G814" s="467" t="s">
        <v>28</v>
      </c>
      <c r="H814" s="467" t="e">
        <v>#N/A</v>
      </c>
    </row>
    <row r="815" spans="1:8" hidden="1">
      <c r="A815" s="532" t="s">
        <v>2899</v>
      </c>
      <c r="B815" s="554" t="s">
        <v>2900</v>
      </c>
      <c r="C815" s="532" t="s">
        <v>2901</v>
      </c>
      <c r="D815" s="495" t="s">
        <v>2864</v>
      </c>
      <c r="E815" s="466" t="str">
        <f t="shared" si="13"/>
        <v>TR</v>
      </c>
      <c r="F815" s="467">
        <v>1</v>
      </c>
      <c r="G815" s="467" t="s">
        <v>28</v>
      </c>
      <c r="H815" s="467" t="e">
        <v>#N/A</v>
      </c>
    </row>
    <row r="816" spans="1:8" hidden="1">
      <c r="A816" s="532" t="s">
        <v>2902</v>
      </c>
      <c r="B816" s="554" t="s">
        <v>2900</v>
      </c>
      <c r="C816" s="532" t="s">
        <v>2903</v>
      </c>
      <c r="D816" s="495" t="s">
        <v>2864</v>
      </c>
      <c r="E816" s="466" t="str">
        <f t="shared" si="13"/>
        <v>TR</v>
      </c>
      <c r="F816" s="467">
        <v>1</v>
      </c>
      <c r="G816" s="467" t="s">
        <v>28</v>
      </c>
      <c r="H816" s="467" t="e">
        <v>#N/A</v>
      </c>
    </row>
    <row r="817" spans="1:8" hidden="1">
      <c r="A817" s="532" t="s">
        <v>2904</v>
      </c>
      <c r="B817" s="554" t="s">
        <v>2900</v>
      </c>
      <c r="C817" s="532" t="s">
        <v>2905</v>
      </c>
      <c r="D817" s="495" t="s">
        <v>2864</v>
      </c>
      <c r="E817" s="466" t="str">
        <f t="shared" si="13"/>
        <v>TR</v>
      </c>
      <c r="F817" s="467">
        <v>1</v>
      </c>
      <c r="G817" s="467" t="s">
        <v>28</v>
      </c>
      <c r="H817" s="467" t="e">
        <v>#N/A</v>
      </c>
    </row>
    <row r="818" spans="1:8" hidden="1">
      <c r="A818" s="532" t="s">
        <v>2906</v>
      </c>
      <c r="B818" s="554" t="s">
        <v>2907</v>
      </c>
      <c r="C818" s="532" t="s">
        <v>2908</v>
      </c>
      <c r="D818" s="495" t="s">
        <v>2864</v>
      </c>
      <c r="E818" s="466" t="str">
        <f t="shared" si="13"/>
        <v>TR</v>
      </c>
      <c r="F818" s="467">
        <v>1</v>
      </c>
      <c r="G818" s="467" t="s">
        <v>28</v>
      </c>
      <c r="H818" s="467" t="e">
        <v>#N/A</v>
      </c>
    </row>
    <row r="819" spans="1:8" hidden="1">
      <c r="A819" s="532" t="s">
        <v>2909</v>
      </c>
      <c r="B819" s="554" t="s">
        <v>2907</v>
      </c>
      <c r="C819" s="532" t="s">
        <v>2910</v>
      </c>
      <c r="D819" s="495" t="s">
        <v>2864</v>
      </c>
      <c r="E819" s="466" t="str">
        <f t="shared" si="13"/>
        <v>TR</v>
      </c>
      <c r="F819" s="467">
        <v>1</v>
      </c>
      <c r="G819" s="467" t="s">
        <v>28</v>
      </c>
      <c r="H819" s="467" t="e">
        <v>#N/A</v>
      </c>
    </row>
    <row r="820" spans="1:8" hidden="1">
      <c r="A820" s="532" t="s">
        <v>2911</v>
      </c>
      <c r="B820" s="554" t="s">
        <v>2912</v>
      </c>
      <c r="C820" s="532" t="s">
        <v>2913</v>
      </c>
      <c r="D820" s="495" t="s">
        <v>2864</v>
      </c>
      <c r="E820" s="466" t="str">
        <f t="shared" si="13"/>
        <v>TR</v>
      </c>
      <c r="F820" s="467">
        <v>1</v>
      </c>
      <c r="G820" s="467" t="s">
        <v>28</v>
      </c>
      <c r="H820" s="467" t="e">
        <v>#N/A</v>
      </c>
    </row>
    <row r="821" spans="1:8" hidden="1">
      <c r="A821" s="532" t="s">
        <v>2914</v>
      </c>
      <c r="B821" s="554" t="s">
        <v>2912</v>
      </c>
      <c r="C821" s="532" t="s">
        <v>2915</v>
      </c>
      <c r="D821" s="495" t="s">
        <v>2864</v>
      </c>
      <c r="E821" s="466" t="str">
        <f t="shared" si="13"/>
        <v>TR</v>
      </c>
      <c r="F821" s="467">
        <v>1</v>
      </c>
      <c r="G821" s="467" t="s">
        <v>28</v>
      </c>
      <c r="H821" s="467" t="e">
        <v>#N/A</v>
      </c>
    </row>
    <row r="822" spans="1:8" hidden="1">
      <c r="A822" s="532" t="s">
        <v>2916</v>
      </c>
      <c r="B822" s="554" t="s">
        <v>2912</v>
      </c>
      <c r="C822" s="532" t="s">
        <v>2917</v>
      </c>
      <c r="D822" s="495" t="s">
        <v>2864</v>
      </c>
      <c r="E822" s="466" t="str">
        <f t="shared" si="13"/>
        <v>TR</v>
      </c>
      <c r="F822" s="467">
        <v>1</v>
      </c>
      <c r="G822" s="467" t="s">
        <v>28</v>
      </c>
      <c r="H822" s="467" t="e">
        <v>#N/A</v>
      </c>
    </row>
    <row r="823" spans="1:8" hidden="1">
      <c r="A823" s="532" t="s">
        <v>2918</v>
      </c>
      <c r="B823" s="554" t="s">
        <v>2912</v>
      </c>
      <c r="C823" s="532" t="s">
        <v>2919</v>
      </c>
      <c r="D823" s="495" t="s">
        <v>2864</v>
      </c>
      <c r="E823" s="466" t="str">
        <f t="shared" si="13"/>
        <v>TR</v>
      </c>
      <c r="F823" s="467">
        <v>1</v>
      </c>
      <c r="G823" s="467" t="s">
        <v>28</v>
      </c>
      <c r="H823" s="467" t="e">
        <v>#N/A</v>
      </c>
    </row>
    <row r="824" spans="1:8" hidden="1">
      <c r="A824" s="532" t="s">
        <v>2920</v>
      </c>
      <c r="B824" s="554" t="s">
        <v>2912</v>
      </c>
      <c r="C824" s="532" t="s">
        <v>2921</v>
      </c>
      <c r="D824" s="495" t="s">
        <v>2864</v>
      </c>
      <c r="E824" s="466" t="str">
        <f t="shared" si="13"/>
        <v>TR</v>
      </c>
      <c r="F824" s="467">
        <v>1</v>
      </c>
      <c r="G824" s="467" t="s">
        <v>28</v>
      </c>
      <c r="H824" s="467" t="e">
        <v>#N/A</v>
      </c>
    </row>
    <row r="825" spans="1:8" hidden="1">
      <c r="A825" s="532" t="s">
        <v>2922</v>
      </c>
      <c r="B825" s="554" t="s">
        <v>2912</v>
      </c>
      <c r="C825" s="532" t="s">
        <v>2923</v>
      </c>
      <c r="D825" s="495" t="s">
        <v>2864</v>
      </c>
      <c r="E825" s="466" t="str">
        <f t="shared" si="13"/>
        <v>TR</v>
      </c>
      <c r="F825" s="467">
        <v>1</v>
      </c>
      <c r="G825" s="467" t="s">
        <v>28</v>
      </c>
      <c r="H825" s="467" t="e">
        <v>#N/A</v>
      </c>
    </row>
    <row r="826" spans="1:8" hidden="1">
      <c r="A826" s="532" t="s">
        <v>2924</v>
      </c>
      <c r="B826" s="554" t="s">
        <v>2912</v>
      </c>
      <c r="C826" s="532" t="s">
        <v>2925</v>
      </c>
      <c r="D826" s="495" t="s">
        <v>2864</v>
      </c>
      <c r="E826" s="466" t="str">
        <f t="shared" si="13"/>
        <v>TR</v>
      </c>
      <c r="F826" s="467">
        <v>1</v>
      </c>
      <c r="G826" s="467" t="s">
        <v>28</v>
      </c>
      <c r="H826" s="467" t="e">
        <v>#N/A</v>
      </c>
    </row>
    <row r="827" spans="1:8" hidden="1">
      <c r="A827" s="532" t="s">
        <v>2926</v>
      </c>
      <c r="B827" s="554" t="s">
        <v>2912</v>
      </c>
      <c r="C827" s="532" t="s">
        <v>2927</v>
      </c>
      <c r="D827" s="495" t="s">
        <v>2864</v>
      </c>
      <c r="E827" s="466" t="str">
        <f t="shared" si="13"/>
        <v>TR</v>
      </c>
      <c r="F827" s="467">
        <v>1</v>
      </c>
      <c r="G827" s="467" t="s">
        <v>28</v>
      </c>
      <c r="H827" s="467" t="e">
        <v>#N/A</v>
      </c>
    </row>
    <row r="828" spans="1:8" hidden="1">
      <c r="A828" s="532" t="s">
        <v>2928</v>
      </c>
      <c r="B828" s="554" t="s">
        <v>2912</v>
      </c>
      <c r="C828" s="532" t="s">
        <v>2929</v>
      </c>
      <c r="D828" s="495" t="s">
        <v>2864</v>
      </c>
      <c r="E828" s="466" t="str">
        <f t="shared" si="13"/>
        <v>TR</v>
      </c>
      <c r="F828" s="467">
        <v>1</v>
      </c>
      <c r="G828" s="467" t="s">
        <v>28</v>
      </c>
      <c r="H828" s="467" t="e">
        <v>#N/A</v>
      </c>
    </row>
    <row r="829" spans="1:8" s="478" customFormat="1" hidden="1">
      <c r="A829" s="473" t="s">
        <v>2930</v>
      </c>
      <c r="B829" s="474" t="s">
        <v>2931</v>
      </c>
      <c r="C829" s="531" t="s">
        <v>2932</v>
      </c>
      <c r="D829" s="475" t="s">
        <v>2864</v>
      </c>
      <c r="E829" s="466" t="str">
        <f t="shared" si="13"/>
        <v>TR</v>
      </c>
      <c r="F829" s="467">
        <v>1</v>
      </c>
      <c r="G829" s="467" t="s">
        <v>28</v>
      </c>
      <c r="H829" s="467" t="s">
        <v>2864</v>
      </c>
    </row>
    <row r="830" spans="1:8" s="478" customFormat="1" hidden="1">
      <c r="A830" s="473" t="s">
        <v>2933</v>
      </c>
      <c r="B830" s="474" t="s">
        <v>2934</v>
      </c>
      <c r="C830" s="531" t="s">
        <v>2935</v>
      </c>
      <c r="D830" s="475" t="s">
        <v>2864</v>
      </c>
      <c r="E830" s="466" t="str">
        <f t="shared" si="13"/>
        <v>TR</v>
      </c>
      <c r="F830" s="467">
        <v>1</v>
      </c>
      <c r="G830" s="467" t="s">
        <v>28</v>
      </c>
      <c r="H830" s="467" t="s">
        <v>2864</v>
      </c>
    </row>
    <row r="831" spans="1:8" s="478" customFormat="1" hidden="1">
      <c r="A831" s="473" t="s">
        <v>2936</v>
      </c>
      <c r="B831" s="474" t="s">
        <v>2934</v>
      </c>
      <c r="C831" s="531" t="s">
        <v>2937</v>
      </c>
      <c r="D831" s="475" t="s">
        <v>2864</v>
      </c>
      <c r="E831" s="466" t="str">
        <f t="shared" si="13"/>
        <v>TR</v>
      </c>
      <c r="F831" s="467">
        <v>1</v>
      </c>
      <c r="G831" s="467" t="s">
        <v>28</v>
      </c>
      <c r="H831" s="467" t="s">
        <v>2864</v>
      </c>
    </row>
    <row r="832" spans="1:8" s="478" customFormat="1" hidden="1">
      <c r="A832" s="473" t="s">
        <v>2938</v>
      </c>
      <c r="B832" s="474" t="s">
        <v>2939</v>
      </c>
      <c r="C832" s="531" t="s">
        <v>2940</v>
      </c>
      <c r="D832" s="475" t="s">
        <v>2864</v>
      </c>
      <c r="E832" s="466" t="str">
        <f t="shared" si="13"/>
        <v>TR</v>
      </c>
      <c r="F832" s="467">
        <v>1</v>
      </c>
      <c r="G832" s="467" t="s">
        <v>28</v>
      </c>
      <c r="H832" s="467" t="s">
        <v>2864</v>
      </c>
    </row>
    <row r="833" spans="1:8" s="478" customFormat="1" hidden="1">
      <c r="A833" s="473" t="s">
        <v>2941</v>
      </c>
      <c r="B833" s="474" t="s">
        <v>2942</v>
      </c>
      <c r="C833" s="531" t="s">
        <v>2943</v>
      </c>
      <c r="D833" s="475" t="s">
        <v>2864</v>
      </c>
      <c r="E833" s="466" t="str">
        <f t="shared" si="13"/>
        <v>TR</v>
      </c>
      <c r="F833" s="467">
        <v>1</v>
      </c>
      <c r="G833" s="467" t="s">
        <v>28</v>
      </c>
      <c r="H833" s="467" t="s">
        <v>2864</v>
      </c>
    </row>
    <row r="834" spans="1:8" s="478" customFormat="1" hidden="1">
      <c r="A834" s="473" t="s">
        <v>2944</v>
      </c>
      <c r="B834" s="474" t="s">
        <v>2945</v>
      </c>
      <c r="C834" s="531" t="s">
        <v>2946</v>
      </c>
      <c r="D834" s="475" t="s">
        <v>2864</v>
      </c>
      <c r="E834" s="466" t="str">
        <f t="shared" si="13"/>
        <v>TR</v>
      </c>
      <c r="F834" s="467">
        <v>1</v>
      </c>
      <c r="G834" s="467" t="s">
        <v>28</v>
      </c>
      <c r="H834" s="467" t="s">
        <v>2864</v>
      </c>
    </row>
    <row r="835" spans="1:8" s="478" customFormat="1" hidden="1">
      <c r="A835" s="473" t="s">
        <v>2947</v>
      </c>
      <c r="B835" s="474" t="s">
        <v>2945</v>
      </c>
      <c r="C835" s="531" t="s">
        <v>2948</v>
      </c>
      <c r="D835" s="475" t="s">
        <v>2864</v>
      </c>
      <c r="E835" s="466" t="str">
        <f t="shared" si="13"/>
        <v>TR</v>
      </c>
      <c r="F835" s="467">
        <v>1</v>
      </c>
      <c r="G835" s="467" t="s">
        <v>28</v>
      </c>
      <c r="H835" s="467" t="s">
        <v>2864</v>
      </c>
    </row>
    <row r="836" spans="1:8" s="478" customFormat="1" hidden="1">
      <c r="A836" s="473" t="s">
        <v>2949</v>
      </c>
      <c r="B836" s="474" t="s">
        <v>2945</v>
      </c>
      <c r="C836" s="531" t="s">
        <v>2950</v>
      </c>
      <c r="D836" s="475" t="s">
        <v>2864</v>
      </c>
      <c r="E836" s="466" t="str">
        <f t="shared" si="13"/>
        <v>TR</v>
      </c>
      <c r="F836" s="467">
        <v>1</v>
      </c>
      <c r="G836" s="467" t="s">
        <v>28</v>
      </c>
      <c r="H836" s="467" t="s">
        <v>2864</v>
      </c>
    </row>
    <row r="837" spans="1:8" s="478" customFormat="1" hidden="1">
      <c r="A837" s="473" t="s">
        <v>2951</v>
      </c>
      <c r="B837" s="474" t="s">
        <v>2952</v>
      </c>
      <c r="C837" s="531" t="s">
        <v>2953</v>
      </c>
      <c r="D837" s="475" t="s">
        <v>2864</v>
      </c>
      <c r="E837" s="466" t="str">
        <f t="shared" si="13"/>
        <v>TR</v>
      </c>
      <c r="F837" s="467">
        <v>1</v>
      </c>
      <c r="G837" s="467" t="s">
        <v>28</v>
      </c>
      <c r="H837" s="467" t="e">
        <v>#N/A</v>
      </c>
    </row>
    <row r="838" spans="1:8" s="478" customFormat="1" hidden="1">
      <c r="A838" s="473" t="s">
        <v>2954</v>
      </c>
      <c r="B838" s="474" t="s">
        <v>2952</v>
      </c>
      <c r="C838" s="531" t="s">
        <v>2955</v>
      </c>
      <c r="D838" s="475" t="s">
        <v>2864</v>
      </c>
      <c r="E838" s="466" t="str">
        <f t="shared" si="13"/>
        <v>TR</v>
      </c>
      <c r="F838" s="467">
        <v>1</v>
      </c>
      <c r="G838" s="467" t="s">
        <v>28</v>
      </c>
      <c r="H838" s="467" t="s">
        <v>2864</v>
      </c>
    </row>
    <row r="839" spans="1:8" s="478" customFormat="1" hidden="1">
      <c r="A839" s="473" t="s">
        <v>2956</v>
      </c>
      <c r="B839" s="474" t="s">
        <v>2952</v>
      </c>
      <c r="C839" s="531" t="s">
        <v>2957</v>
      </c>
      <c r="D839" s="475" t="s">
        <v>2864</v>
      </c>
      <c r="E839" s="466" t="str">
        <f t="shared" si="13"/>
        <v>TR</v>
      </c>
      <c r="F839" s="467">
        <v>1</v>
      </c>
      <c r="G839" s="467" t="s">
        <v>28</v>
      </c>
      <c r="H839" s="467" t="e">
        <v>#N/A</v>
      </c>
    </row>
    <row r="840" spans="1:8" s="478" customFormat="1" hidden="1">
      <c r="A840" s="473" t="s">
        <v>2958</v>
      </c>
      <c r="B840" s="474" t="s">
        <v>2952</v>
      </c>
      <c r="C840" s="531" t="s">
        <v>2959</v>
      </c>
      <c r="D840" s="475" t="s">
        <v>2864</v>
      </c>
      <c r="E840" s="466" t="str">
        <f t="shared" si="13"/>
        <v>TR</v>
      </c>
      <c r="F840" s="467">
        <v>1</v>
      </c>
      <c r="G840" s="467" t="s">
        <v>28</v>
      </c>
      <c r="H840" s="467" t="e">
        <v>#N/A</v>
      </c>
    </row>
    <row r="841" spans="1:8" s="478" customFormat="1" hidden="1">
      <c r="A841" s="473" t="s">
        <v>2960</v>
      </c>
      <c r="B841" s="474" t="s">
        <v>2952</v>
      </c>
      <c r="C841" s="531" t="s">
        <v>2961</v>
      </c>
      <c r="D841" s="475" t="s">
        <v>2864</v>
      </c>
      <c r="E841" s="466" t="str">
        <f t="shared" si="13"/>
        <v>TR</v>
      </c>
      <c r="F841" s="467">
        <v>1</v>
      </c>
      <c r="G841" s="467" t="s">
        <v>28</v>
      </c>
      <c r="H841" s="467" t="e">
        <v>#N/A</v>
      </c>
    </row>
    <row r="842" spans="1:8" s="478" customFormat="1" hidden="1">
      <c r="A842" s="473" t="s">
        <v>2962</v>
      </c>
      <c r="B842" s="474" t="s">
        <v>2952</v>
      </c>
      <c r="C842" s="531" t="s">
        <v>2963</v>
      </c>
      <c r="D842" s="475" t="s">
        <v>2864</v>
      </c>
      <c r="E842" s="466" t="str">
        <f t="shared" si="13"/>
        <v>TR</v>
      </c>
      <c r="F842" s="467">
        <v>1</v>
      </c>
      <c r="G842" s="467" t="s">
        <v>28</v>
      </c>
      <c r="H842" s="467" t="s">
        <v>2864</v>
      </c>
    </row>
    <row r="843" spans="1:8" s="478" customFormat="1" hidden="1">
      <c r="A843" s="473" t="s">
        <v>2964</v>
      </c>
      <c r="B843" s="474" t="s">
        <v>2952</v>
      </c>
      <c r="C843" s="531" t="s">
        <v>2965</v>
      </c>
      <c r="D843" s="475" t="s">
        <v>2864</v>
      </c>
      <c r="E843" s="466" t="str">
        <f t="shared" si="13"/>
        <v>TR</v>
      </c>
      <c r="F843" s="467">
        <v>1</v>
      </c>
      <c r="G843" s="467" t="s">
        <v>28</v>
      </c>
      <c r="H843" s="467" t="e">
        <v>#N/A</v>
      </c>
    </row>
    <row r="844" spans="1:8" s="478" customFormat="1" hidden="1">
      <c r="A844" s="473" t="s">
        <v>2966</v>
      </c>
      <c r="B844" s="474" t="s">
        <v>2952</v>
      </c>
      <c r="C844" s="531" t="s">
        <v>2967</v>
      </c>
      <c r="D844" s="475" t="s">
        <v>2864</v>
      </c>
      <c r="E844" s="466" t="str">
        <f t="shared" si="13"/>
        <v>TR</v>
      </c>
      <c r="F844" s="467">
        <v>1</v>
      </c>
      <c r="G844" s="467" t="s">
        <v>28</v>
      </c>
      <c r="H844" s="467" t="e">
        <v>#N/A</v>
      </c>
    </row>
    <row r="845" spans="1:8" s="478" customFormat="1" hidden="1">
      <c r="A845" s="473" t="s">
        <v>2968</v>
      </c>
      <c r="B845" s="474" t="s">
        <v>2952</v>
      </c>
      <c r="C845" s="531" t="s">
        <v>2969</v>
      </c>
      <c r="D845" s="475" t="s">
        <v>2864</v>
      </c>
      <c r="E845" s="466" t="str">
        <f t="shared" si="13"/>
        <v>TR</v>
      </c>
      <c r="F845" s="467">
        <v>1</v>
      </c>
      <c r="G845" s="467" t="s">
        <v>28</v>
      </c>
      <c r="H845" s="467" t="e">
        <v>#N/A</v>
      </c>
    </row>
    <row r="846" spans="1:8" hidden="1">
      <c r="A846" s="469" t="s">
        <v>2970</v>
      </c>
      <c r="B846" s="555" t="s">
        <v>2971</v>
      </c>
      <c r="C846" s="469" t="s">
        <v>2972</v>
      </c>
      <c r="D846" s="471" t="s">
        <v>281</v>
      </c>
      <c r="E846" s="466" t="str">
        <f t="shared" si="13"/>
        <v>FC</v>
      </c>
      <c r="F846" s="467">
        <v>3</v>
      </c>
      <c r="G846" s="467" t="s">
        <v>28</v>
      </c>
      <c r="H846" s="467" t="e">
        <v>#N/A</v>
      </c>
    </row>
    <row r="847" spans="1:8" hidden="1">
      <c r="A847" s="469" t="s">
        <v>2973</v>
      </c>
      <c r="B847" s="555" t="s">
        <v>2971</v>
      </c>
      <c r="C847" s="469" t="s">
        <v>2974</v>
      </c>
      <c r="D847" s="471" t="s">
        <v>281</v>
      </c>
      <c r="E847" s="466" t="str">
        <f t="shared" ref="E847:E911" si="14">LEFT(A847,2)</f>
        <v>FC</v>
      </c>
      <c r="F847" s="467">
        <v>3</v>
      </c>
      <c r="G847" s="467" t="s">
        <v>28</v>
      </c>
      <c r="H847" s="467" t="e">
        <v>#N/A</v>
      </c>
    </row>
    <row r="848" spans="1:8" hidden="1">
      <c r="A848" s="469" t="s">
        <v>2975</v>
      </c>
      <c r="B848" s="555" t="s">
        <v>2976</v>
      </c>
      <c r="C848" s="469" t="s">
        <v>2972</v>
      </c>
      <c r="D848" s="471" t="s">
        <v>281</v>
      </c>
      <c r="E848" s="466" t="str">
        <f t="shared" si="14"/>
        <v>FC</v>
      </c>
      <c r="F848" s="467">
        <v>3</v>
      </c>
      <c r="G848" s="467" t="s">
        <v>28</v>
      </c>
      <c r="H848" s="467">
        <v>0</v>
      </c>
    </row>
    <row r="849" spans="1:8" hidden="1">
      <c r="A849" s="469" t="s">
        <v>2977</v>
      </c>
      <c r="B849" s="555" t="s">
        <v>2850</v>
      </c>
      <c r="C849" s="469" t="s">
        <v>2974</v>
      </c>
      <c r="D849" s="471" t="s">
        <v>281</v>
      </c>
      <c r="E849" s="466" t="str">
        <f t="shared" si="14"/>
        <v>FC</v>
      </c>
      <c r="F849" s="467">
        <v>3</v>
      </c>
      <c r="G849" s="467" t="s">
        <v>28</v>
      </c>
      <c r="H849" s="467">
        <v>0</v>
      </c>
    </row>
    <row r="850" spans="1:8" hidden="1">
      <c r="A850" s="469" t="s">
        <v>2978</v>
      </c>
      <c r="B850" s="555" t="s">
        <v>2971</v>
      </c>
      <c r="C850" s="469" t="s">
        <v>2979</v>
      </c>
      <c r="D850" s="471" t="s">
        <v>281</v>
      </c>
      <c r="E850" s="466" t="str">
        <f t="shared" si="14"/>
        <v>lb</v>
      </c>
      <c r="F850" s="467">
        <v>3</v>
      </c>
      <c r="G850" s="467" t="s">
        <v>28</v>
      </c>
      <c r="H850" s="467" t="e">
        <v>#N/A</v>
      </c>
    </row>
    <row r="851" spans="1:8" hidden="1">
      <c r="A851" s="469" t="s">
        <v>2980</v>
      </c>
      <c r="B851" s="555" t="s">
        <v>2971</v>
      </c>
      <c r="C851" s="469" t="s">
        <v>2981</v>
      </c>
      <c r="D851" s="471" t="s">
        <v>281</v>
      </c>
      <c r="E851" s="466" t="str">
        <f t="shared" si="14"/>
        <v>LB</v>
      </c>
      <c r="F851" s="467">
        <v>3</v>
      </c>
      <c r="G851" s="467" t="s">
        <v>28</v>
      </c>
      <c r="H851" s="467" t="e">
        <v>#N/A</v>
      </c>
    </row>
    <row r="852" spans="1:8" hidden="1">
      <c r="A852" s="469" t="s">
        <v>2982</v>
      </c>
      <c r="B852" s="555" t="s">
        <v>2850</v>
      </c>
      <c r="C852" s="469" t="s">
        <v>2979</v>
      </c>
      <c r="D852" s="471" t="s">
        <v>281</v>
      </c>
      <c r="E852" s="466" t="str">
        <f t="shared" si="14"/>
        <v>lb</v>
      </c>
      <c r="F852" s="467">
        <v>3</v>
      </c>
      <c r="G852" s="467" t="s">
        <v>28</v>
      </c>
      <c r="H852" s="467">
        <v>0</v>
      </c>
    </row>
    <row r="853" spans="1:8" hidden="1">
      <c r="A853" s="469" t="s">
        <v>2983</v>
      </c>
      <c r="B853" s="555" t="s">
        <v>2850</v>
      </c>
      <c r="C853" s="469" t="s">
        <v>2981</v>
      </c>
      <c r="D853" s="471" t="s">
        <v>281</v>
      </c>
      <c r="E853" s="466" t="str">
        <f t="shared" si="14"/>
        <v>LB</v>
      </c>
      <c r="F853" s="467">
        <v>3</v>
      </c>
      <c r="G853" s="467" t="s">
        <v>28</v>
      </c>
      <c r="H853" s="467">
        <v>0</v>
      </c>
    </row>
    <row r="854" spans="1:8" hidden="1">
      <c r="A854" s="489" t="s">
        <v>1305</v>
      </c>
      <c r="B854" s="556" t="s">
        <v>2984</v>
      </c>
      <c r="C854" s="489" t="s">
        <v>2985</v>
      </c>
      <c r="D854" s="491" t="s">
        <v>775</v>
      </c>
      <c r="E854" s="466" t="str">
        <f t="shared" si="14"/>
        <v>DS</v>
      </c>
      <c r="F854" s="467">
        <v>50</v>
      </c>
      <c r="G854" s="467" t="s">
        <v>28</v>
      </c>
      <c r="H854" s="467">
        <v>0</v>
      </c>
    </row>
    <row r="855" spans="1:8" hidden="1">
      <c r="A855" s="489" t="s">
        <v>1311</v>
      </c>
      <c r="B855" s="556" t="s">
        <v>2984</v>
      </c>
      <c r="C855" s="489" t="s">
        <v>2986</v>
      </c>
      <c r="D855" s="491" t="s">
        <v>775</v>
      </c>
      <c r="E855" s="466" t="str">
        <f t="shared" si="14"/>
        <v>DS</v>
      </c>
      <c r="F855" s="467">
        <v>50</v>
      </c>
      <c r="G855" s="467" t="s">
        <v>28</v>
      </c>
      <c r="H855" s="467">
        <v>0</v>
      </c>
    </row>
    <row r="856" spans="1:8" hidden="1">
      <c r="A856" s="489" t="s">
        <v>2987</v>
      </c>
      <c r="B856" s="556" t="s">
        <v>2988</v>
      </c>
      <c r="C856" s="489" t="s">
        <v>2985</v>
      </c>
      <c r="D856" s="491" t="s">
        <v>775</v>
      </c>
      <c r="E856" s="466" t="str">
        <f t="shared" si="14"/>
        <v>DS</v>
      </c>
      <c r="F856" s="467">
        <v>50</v>
      </c>
      <c r="G856" s="467" t="s">
        <v>28</v>
      </c>
      <c r="H856" s="467" t="e">
        <v>#N/A</v>
      </c>
    </row>
    <row r="857" spans="1:8" hidden="1">
      <c r="A857" s="489" t="s">
        <v>2989</v>
      </c>
      <c r="B857" s="556" t="s">
        <v>2990</v>
      </c>
      <c r="C857" s="489" t="s">
        <v>2986</v>
      </c>
      <c r="D857" s="491" t="s">
        <v>775</v>
      </c>
      <c r="E857" s="466" t="str">
        <f t="shared" si="14"/>
        <v>DS</v>
      </c>
      <c r="F857" s="467">
        <v>50</v>
      </c>
      <c r="G857" s="467" t="s">
        <v>28</v>
      </c>
      <c r="H857" s="467" t="e">
        <v>#N/A</v>
      </c>
    </row>
    <row r="858" spans="1:8" hidden="1">
      <c r="A858" s="489" t="s">
        <v>1307</v>
      </c>
      <c r="B858" s="556" t="s">
        <v>2991</v>
      </c>
      <c r="C858" s="489" t="s">
        <v>2992</v>
      </c>
      <c r="D858" s="491" t="s">
        <v>775</v>
      </c>
      <c r="E858" s="466" t="str">
        <f t="shared" si="14"/>
        <v>LB</v>
      </c>
      <c r="F858" s="467">
        <v>50</v>
      </c>
      <c r="G858" s="467" t="s">
        <v>28</v>
      </c>
      <c r="H858" s="467">
        <v>0</v>
      </c>
    </row>
    <row r="859" spans="1:8" hidden="1">
      <c r="A859" s="489" t="s">
        <v>2993</v>
      </c>
      <c r="B859" s="556" t="s">
        <v>2991</v>
      </c>
      <c r="C859" s="489" t="s">
        <v>2994</v>
      </c>
      <c r="D859" s="491" t="s">
        <v>775</v>
      </c>
      <c r="E859" s="466" t="str">
        <f t="shared" si="14"/>
        <v>LB</v>
      </c>
      <c r="F859" s="467">
        <v>50</v>
      </c>
      <c r="G859" s="467" t="s">
        <v>28</v>
      </c>
      <c r="H859" s="467" t="e">
        <v>#N/A</v>
      </c>
    </row>
    <row r="860" spans="1:8" hidden="1">
      <c r="A860" s="489" t="s">
        <v>2995</v>
      </c>
      <c r="B860" s="556" t="s">
        <v>2996</v>
      </c>
      <c r="C860" s="489" t="s">
        <v>2997</v>
      </c>
      <c r="D860" s="491" t="s">
        <v>775</v>
      </c>
      <c r="E860" s="466" t="str">
        <f t="shared" si="14"/>
        <v>RE</v>
      </c>
      <c r="F860" s="467">
        <v>50</v>
      </c>
      <c r="G860" s="467" t="s">
        <v>28</v>
      </c>
      <c r="H860" s="467" t="e">
        <v>#N/A</v>
      </c>
    </row>
    <row r="861" spans="1:8" hidden="1">
      <c r="A861" s="489" t="s">
        <v>1308</v>
      </c>
      <c r="B861" s="556" t="s">
        <v>2991</v>
      </c>
      <c r="C861" s="489" t="s">
        <v>2998</v>
      </c>
      <c r="D861" s="491" t="s">
        <v>775</v>
      </c>
      <c r="E861" s="466" t="str">
        <f t="shared" si="14"/>
        <v>Re</v>
      </c>
      <c r="F861" s="467">
        <v>50</v>
      </c>
      <c r="G861" s="467" t="s">
        <v>28</v>
      </c>
      <c r="H861" s="467">
        <v>0</v>
      </c>
    </row>
    <row r="862" spans="1:8" hidden="1">
      <c r="A862" s="489" t="s">
        <v>1302</v>
      </c>
      <c r="B862" s="556" t="s">
        <v>2999</v>
      </c>
      <c r="C862" s="489" t="s">
        <v>3000</v>
      </c>
      <c r="D862" s="491" t="s">
        <v>281</v>
      </c>
      <c r="E862" s="466" t="str">
        <f t="shared" si="14"/>
        <v>LT</v>
      </c>
      <c r="F862" s="467">
        <v>8</v>
      </c>
      <c r="G862" s="467" t="s">
        <v>28</v>
      </c>
      <c r="H862" s="467">
        <v>0</v>
      </c>
    </row>
    <row r="863" spans="1:8" hidden="1">
      <c r="A863" s="489" t="s">
        <v>1315</v>
      </c>
      <c r="B863" s="556" t="s">
        <v>2999</v>
      </c>
      <c r="C863" s="489" t="s">
        <v>3001</v>
      </c>
      <c r="D863" s="491" t="s">
        <v>281</v>
      </c>
      <c r="E863" s="466" t="str">
        <f t="shared" si="14"/>
        <v>LT</v>
      </c>
      <c r="F863" s="467">
        <v>8</v>
      </c>
      <c r="G863" s="467" t="s">
        <v>28</v>
      </c>
      <c r="H863" s="467">
        <v>3</v>
      </c>
    </row>
    <row r="864" spans="1:8" hidden="1">
      <c r="A864" s="489" t="s">
        <v>1312</v>
      </c>
      <c r="B864" s="556" t="s">
        <v>3002</v>
      </c>
      <c r="C864" s="489" t="s">
        <v>3003</v>
      </c>
      <c r="D864" s="491" t="s">
        <v>281</v>
      </c>
      <c r="E864" s="466" t="str">
        <f t="shared" si="14"/>
        <v>LA</v>
      </c>
      <c r="F864" s="467">
        <v>4</v>
      </c>
      <c r="G864" s="467" t="s">
        <v>28</v>
      </c>
      <c r="H864" s="467">
        <v>0</v>
      </c>
    </row>
    <row r="865" spans="1:8" hidden="1">
      <c r="A865" s="489" t="s">
        <v>1052</v>
      </c>
      <c r="B865" s="556" t="s">
        <v>3002</v>
      </c>
      <c r="C865" s="489" t="s">
        <v>3004</v>
      </c>
      <c r="D865" s="491" t="s">
        <v>281</v>
      </c>
      <c r="E865" s="466" t="str">
        <f t="shared" si="14"/>
        <v>LA</v>
      </c>
      <c r="F865" s="467">
        <v>4</v>
      </c>
      <c r="G865" s="467" t="s">
        <v>28</v>
      </c>
      <c r="H865" s="467">
        <v>0</v>
      </c>
    </row>
    <row r="866" spans="1:8" hidden="1">
      <c r="A866" s="494" t="s">
        <v>3005</v>
      </c>
      <c r="B866" s="493" t="s">
        <v>2481</v>
      </c>
      <c r="C866" s="494" t="s">
        <v>3006</v>
      </c>
      <c r="D866" s="495" t="s">
        <v>281</v>
      </c>
      <c r="E866" s="466" t="str">
        <f t="shared" si="14"/>
        <v>TI</v>
      </c>
      <c r="F866" s="467">
        <v>2000</v>
      </c>
      <c r="G866" s="467" t="s">
        <v>28</v>
      </c>
      <c r="H866" s="467" t="e">
        <v>#N/A</v>
      </c>
    </row>
    <row r="867" spans="1:8" hidden="1">
      <c r="A867" s="494" t="s">
        <v>3007</v>
      </c>
      <c r="B867" s="493" t="s">
        <v>2481</v>
      </c>
      <c r="C867" s="494" t="s">
        <v>3008</v>
      </c>
      <c r="D867" s="495" t="s">
        <v>281</v>
      </c>
      <c r="E867" s="466" t="str">
        <f t="shared" si="14"/>
        <v>TI</v>
      </c>
      <c r="F867" s="467">
        <v>2000</v>
      </c>
      <c r="G867" s="467" t="s">
        <v>28</v>
      </c>
      <c r="H867" s="467" t="s">
        <v>281</v>
      </c>
    </row>
    <row r="868" spans="1:8" hidden="1">
      <c r="A868" s="494" t="s">
        <v>3009</v>
      </c>
      <c r="B868" s="493" t="s">
        <v>2481</v>
      </c>
      <c r="C868" s="494" t="s">
        <v>3010</v>
      </c>
      <c r="D868" s="495" t="s">
        <v>281</v>
      </c>
      <c r="E868" s="466" t="str">
        <f t="shared" si="14"/>
        <v>TI</v>
      </c>
      <c r="F868" s="467">
        <v>2000</v>
      </c>
      <c r="G868" s="467" t="s">
        <v>28</v>
      </c>
      <c r="H868" s="467">
        <v>0</v>
      </c>
    </row>
    <row r="869" spans="1:8" hidden="1">
      <c r="A869" s="494" t="s">
        <v>3011</v>
      </c>
      <c r="B869" s="493" t="s">
        <v>2481</v>
      </c>
      <c r="C869" s="494" t="s">
        <v>3012</v>
      </c>
      <c r="D869" s="495" t="s">
        <v>281</v>
      </c>
      <c r="E869" s="466" t="str">
        <f t="shared" si="14"/>
        <v>TI</v>
      </c>
      <c r="F869" s="467">
        <v>2000</v>
      </c>
      <c r="G869" s="467" t="s">
        <v>28</v>
      </c>
      <c r="H869" s="467" t="s">
        <v>281</v>
      </c>
    </row>
    <row r="870" spans="1:8" hidden="1">
      <c r="A870" s="494" t="s">
        <v>3013</v>
      </c>
      <c r="B870" s="493" t="s">
        <v>2481</v>
      </c>
      <c r="C870" s="494" t="s">
        <v>3014</v>
      </c>
      <c r="D870" s="495" t="s">
        <v>281</v>
      </c>
      <c r="E870" s="466" t="str">
        <f t="shared" si="14"/>
        <v>TI</v>
      </c>
      <c r="F870" s="467">
        <v>2000</v>
      </c>
      <c r="G870" s="467" t="s">
        <v>28</v>
      </c>
      <c r="H870" s="467" t="e">
        <v>#N/A</v>
      </c>
    </row>
    <row r="871" spans="1:8" hidden="1">
      <c r="A871" s="494" t="s">
        <v>3015</v>
      </c>
      <c r="B871" s="493" t="s">
        <v>2481</v>
      </c>
      <c r="C871" s="494" t="s">
        <v>3016</v>
      </c>
      <c r="D871" s="495" t="s">
        <v>281</v>
      </c>
      <c r="E871" s="466" t="str">
        <f t="shared" si="14"/>
        <v>TI</v>
      </c>
      <c r="F871" s="467">
        <v>2000</v>
      </c>
      <c r="G871" s="467" t="s">
        <v>28</v>
      </c>
      <c r="H871" s="467" t="e">
        <v>#N/A</v>
      </c>
    </row>
    <row r="872" spans="1:8" hidden="1">
      <c r="A872" s="494" t="s">
        <v>3017</v>
      </c>
      <c r="B872" s="493" t="s">
        <v>2481</v>
      </c>
      <c r="C872" s="494" t="s">
        <v>3018</v>
      </c>
      <c r="D872" s="495" t="s">
        <v>281</v>
      </c>
      <c r="E872" s="466" t="str">
        <f t="shared" si="14"/>
        <v>TI</v>
      </c>
      <c r="F872" s="467">
        <v>2000</v>
      </c>
      <c r="G872" s="467" t="s">
        <v>28</v>
      </c>
      <c r="H872" s="467" t="e">
        <v>#N/A</v>
      </c>
    </row>
    <row r="873" spans="1:8" hidden="1">
      <c r="A873" s="494" t="s">
        <v>3019</v>
      </c>
      <c r="B873" s="493" t="s">
        <v>2481</v>
      </c>
      <c r="C873" s="494" t="s">
        <v>3020</v>
      </c>
      <c r="D873" s="495" t="s">
        <v>281</v>
      </c>
      <c r="E873" s="466" t="str">
        <f t="shared" si="14"/>
        <v>TI</v>
      </c>
      <c r="F873" s="467">
        <v>2000</v>
      </c>
      <c r="G873" s="467" t="s">
        <v>28</v>
      </c>
      <c r="H873" s="467" t="e">
        <v>#N/A</v>
      </c>
    </row>
    <row r="874" spans="1:8" hidden="1">
      <c r="A874" s="494" t="s">
        <v>3021</v>
      </c>
      <c r="B874" s="493" t="s">
        <v>2481</v>
      </c>
      <c r="C874" s="494" t="s">
        <v>3022</v>
      </c>
      <c r="D874" s="495" t="s">
        <v>281</v>
      </c>
      <c r="E874" s="466" t="str">
        <f t="shared" si="14"/>
        <v>TI</v>
      </c>
      <c r="F874" s="467">
        <v>2000</v>
      </c>
      <c r="G874" s="467" t="s">
        <v>28</v>
      </c>
      <c r="H874" s="467" t="e">
        <v>#N/A</v>
      </c>
    </row>
    <row r="875" spans="1:8" hidden="1">
      <c r="A875" s="494" t="s">
        <v>3023</v>
      </c>
      <c r="B875" s="493" t="s">
        <v>2481</v>
      </c>
      <c r="C875" s="494" t="s">
        <v>3024</v>
      </c>
      <c r="D875" s="495" t="s">
        <v>281</v>
      </c>
      <c r="E875" s="466" t="str">
        <f t="shared" si="14"/>
        <v>TI</v>
      </c>
      <c r="F875" s="467">
        <v>2000</v>
      </c>
      <c r="G875" s="467" t="s">
        <v>28</v>
      </c>
      <c r="H875" s="467" t="e">
        <v>#N/A</v>
      </c>
    </row>
    <row r="876" spans="1:8" hidden="1">
      <c r="A876" s="494" t="s">
        <v>3025</v>
      </c>
      <c r="B876" s="493" t="s">
        <v>2481</v>
      </c>
      <c r="C876" s="494" t="s">
        <v>3026</v>
      </c>
      <c r="D876" s="495" t="s">
        <v>281</v>
      </c>
      <c r="E876" s="466" t="str">
        <f t="shared" si="14"/>
        <v>TI</v>
      </c>
      <c r="F876" s="467">
        <v>2000</v>
      </c>
      <c r="G876" s="467" t="s">
        <v>28</v>
      </c>
      <c r="H876" s="467" t="e">
        <v>#N/A</v>
      </c>
    </row>
    <row r="877" spans="1:8" s="478" customFormat="1" hidden="1">
      <c r="A877" s="494" t="s">
        <v>3027</v>
      </c>
      <c r="B877" s="493"/>
      <c r="C877" s="557" t="s">
        <v>3028</v>
      </c>
      <c r="D877" s="495" t="s">
        <v>281</v>
      </c>
      <c r="E877" s="466" t="str">
        <f t="shared" si="14"/>
        <v>TI</v>
      </c>
      <c r="F877" s="467">
        <v>2000</v>
      </c>
      <c r="G877" s="467" t="s">
        <v>28</v>
      </c>
      <c r="H877" s="467" t="e">
        <v>#N/A</v>
      </c>
    </row>
    <row r="878" spans="1:8" hidden="1">
      <c r="A878" s="494" t="s">
        <v>1348</v>
      </c>
      <c r="B878" s="493"/>
      <c r="C878" s="557" t="s">
        <v>3029</v>
      </c>
      <c r="D878" s="495" t="s">
        <v>281</v>
      </c>
      <c r="E878" s="466" t="str">
        <f t="shared" si="14"/>
        <v>TI</v>
      </c>
      <c r="F878" s="467">
        <v>2000</v>
      </c>
      <c r="G878" s="467" t="s">
        <v>28</v>
      </c>
      <c r="H878" s="467">
        <v>0</v>
      </c>
    </row>
    <row r="879" spans="1:8" hidden="1">
      <c r="A879" s="494" t="s">
        <v>3030</v>
      </c>
      <c r="B879" s="493"/>
      <c r="C879" s="557" t="s">
        <v>3031</v>
      </c>
      <c r="D879" s="495" t="s">
        <v>281</v>
      </c>
      <c r="E879" s="466" t="str">
        <f t="shared" si="14"/>
        <v>TI</v>
      </c>
      <c r="F879" s="467">
        <v>2000</v>
      </c>
      <c r="G879" s="467" t="s">
        <v>28</v>
      </c>
      <c r="H879" s="467" t="e">
        <v>#N/A</v>
      </c>
    </row>
    <row r="880" spans="1:8" hidden="1">
      <c r="A880" s="494" t="s">
        <v>3032</v>
      </c>
      <c r="B880" s="493"/>
      <c r="C880" s="557" t="s">
        <v>3033</v>
      </c>
      <c r="D880" s="495" t="s">
        <v>281</v>
      </c>
      <c r="E880" s="466" t="str">
        <f t="shared" si="14"/>
        <v>TI</v>
      </c>
      <c r="F880" s="467">
        <v>2000</v>
      </c>
      <c r="G880" s="467" t="s">
        <v>28</v>
      </c>
      <c r="H880" s="467" t="e">
        <v>#N/A</v>
      </c>
    </row>
    <row r="881" spans="1:8" hidden="1">
      <c r="A881" s="494" t="s">
        <v>3034</v>
      </c>
      <c r="B881" s="493"/>
      <c r="C881" s="557" t="s">
        <v>3035</v>
      </c>
      <c r="D881" s="495" t="s">
        <v>281</v>
      </c>
      <c r="E881" s="466" t="str">
        <f t="shared" si="14"/>
        <v>TI</v>
      </c>
      <c r="F881" s="467">
        <v>2000</v>
      </c>
      <c r="G881" s="467" t="s">
        <v>28</v>
      </c>
      <c r="H881" s="467" t="s">
        <v>281</v>
      </c>
    </row>
    <row r="882" spans="1:8" hidden="1">
      <c r="A882" s="494" t="s">
        <v>3036</v>
      </c>
      <c r="B882" s="493"/>
      <c r="C882" s="557" t="s">
        <v>3037</v>
      </c>
      <c r="D882" s="495" t="s">
        <v>281</v>
      </c>
      <c r="E882" s="466" t="str">
        <f t="shared" si="14"/>
        <v>TI</v>
      </c>
      <c r="F882" s="467">
        <v>2000</v>
      </c>
      <c r="G882" s="467" t="s">
        <v>28</v>
      </c>
      <c r="H882" s="467" t="s">
        <v>281</v>
      </c>
    </row>
    <row r="883" spans="1:8" hidden="1">
      <c r="A883" s="494" t="s">
        <v>3038</v>
      </c>
      <c r="B883" s="493"/>
      <c r="C883" s="557" t="s">
        <v>3039</v>
      </c>
      <c r="D883" s="495" t="s">
        <v>281</v>
      </c>
      <c r="E883" s="466" t="str">
        <f t="shared" si="14"/>
        <v>TI</v>
      </c>
      <c r="F883" s="467">
        <v>2000</v>
      </c>
      <c r="G883" s="467" t="s">
        <v>28</v>
      </c>
      <c r="H883" s="467" t="s">
        <v>281</v>
      </c>
    </row>
    <row r="884" spans="1:8" hidden="1">
      <c r="A884" s="494" t="s">
        <v>3040</v>
      </c>
      <c r="B884" s="493"/>
      <c r="C884" s="557" t="s">
        <v>3041</v>
      </c>
      <c r="D884" s="495" t="s">
        <v>281</v>
      </c>
      <c r="E884" s="466" t="str">
        <f t="shared" si="14"/>
        <v>TI</v>
      </c>
      <c r="F884" s="467">
        <v>2000</v>
      </c>
      <c r="G884" s="467" t="s">
        <v>28</v>
      </c>
      <c r="H884" s="467" t="s">
        <v>281</v>
      </c>
    </row>
    <row r="885" spans="1:8" hidden="1">
      <c r="A885" s="494" t="s">
        <v>3042</v>
      </c>
      <c r="B885" s="493"/>
      <c r="C885" s="557" t="s">
        <v>3043</v>
      </c>
      <c r="D885" s="495" t="s">
        <v>281</v>
      </c>
      <c r="E885" s="466" t="str">
        <f t="shared" si="14"/>
        <v>TI</v>
      </c>
      <c r="F885" s="467">
        <v>2000</v>
      </c>
      <c r="G885" s="467" t="s">
        <v>28</v>
      </c>
      <c r="H885" s="467" t="s">
        <v>281</v>
      </c>
    </row>
    <row r="886" spans="1:8" hidden="1">
      <c r="A886" s="494" t="s">
        <v>3044</v>
      </c>
      <c r="B886" s="493"/>
      <c r="C886" s="494" t="s">
        <v>3045</v>
      </c>
      <c r="D886" s="495" t="s">
        <v>281</v>
      </c>
      <c r="E886" s="466" t="str">
        <f t="shared" si="14"/>
        <v>TI</v>
      </c>
      <c r="F886" s="467">
        <v>2000</v>
      </c>
      <c r="G886" s="467" t="s">
        <v>28</v>
      </c>
      <c r="H886" s="467" t="s">
        <v>281</v>
      </c>
    </row>
    <row r="887" spans="1:8" hidden="1">
      <c r="A887" s="494" t="s">
        <v>3046</v>
      </c>
      <c r="B887" s="493"/>
      <c r="C887" s="557" t="s">
        <v>3047</v>
      </c>
      <c r="D887" s="495" t="s">
        <v>281</v>
      </c>
      <c r="E887" s="466" t="str">
        <f t="shared" si="14"/>
        <v>TI</v>
      </c>
      <c r="F887" s="467">
        <v>2000</v>
      </c>
      <c r="G887" s="467" t="s">
        <v>28</v>
      </c>
      <c r="H887" s="467" t="s">
        <v>281</v>
      </c>
    </row>
    <row r="888" spans="1:8" hidden="1">
      <c r="A888" s="473" t="s">
        <v>3048</v>
      </c>
      <c r="B888" s="477" t="s">
        <v>2495</v>
      </c>
      <c r="C888" s="558" t="s">
        <v>3049</v>
      </c>
      <c r="D888" s="475" t="s">
        <v>281</v>
      </c>
      <c r="E888" s="466" t="str">
        <f t="shared" si="14"/>
        <v>TU</v>
      </c>
      <c r="F888" s="467">
        <v>2000</v>
      </c>
      <c r="G888" s="467" t="s">
        <v>28</v>
      </c>
      <c r="H888" s="467" t="e">
        <v>#N/A</v>
      </c>
    </row>
    <row r="889" spans="1:8" hidden="1">
      <c r="A889" s="473" t="s">
        <v>3050</v>
      </c>
      <c r="B889" s="477" t="s">
        <v>2495</v>
      </c>
      <c r="C889" s="558" t="s">
        <v>3051</v>
      </c>
      <c r="D889" s="475" t="s">
        <v>281</v>
      </c>
      <c r="E889" s="466" t="str">
        <f t="shared" si="14"/>
        <v>TU</v>
      </c>
      <c r="F889" s="467">
        <v>2000</v>
      </c>
      <c r="G889" s="467" t="s">
        <v>28</v>
      </c>
      <c r="H889" s="467">
        <v>0</v>
      </c>
    </row>
    <row r="890" spans="1:8" s="478" customFormat="1" hidden="1">
      <c r="A890" s="479" t="s">
        <v>3052</v>
      </c>
      <c r="B890" s="483"/>
      <c r="C890" s="559" t="s">
        <v>3053</v>
      </c>
      <c r="D890" s="481" t="s">
        <v>775</v>
      </c>
      <c r="E890" s="466" t="str">
        <f t="shared" si="14"/>
        <v>TI</v>
      </c>
      <c r="F890" s="467">
        <v>50</v>
      </c>
      <c r="G890" s="467" t="s">
        <v>28</v>
      </c>
      <c r="H890" s="467" t="e">
        <v>#N/A</v>
      </c>
    </row>
    <row r="891" spans="1:8" s="478" customFormat="1" hidden="1">
      <c r="A891" s="479" t="s">
        <v>1350</v>
      </c>
      <c r="B891" s="483"/>
      <c r="C891" s="559" t="s">
        <v>3054</v>
      </c>
      <c r="D891" s="481" t="s">
        <v>281</v>
      </c>
      <c r="E891" s="466" t="str">
        <f t="shared" si="14"/>
        <v>CO</v>
      </c>
      <c r="F891" s="467">
        <v>50</v>
      </c>
      <c r="G891" s="467" t="s">
        <v>28</v>
      </c>
      <c r="H891" s="467">
        <v>0</v>
      </c>
    </row>
    <row r="892" spans="1:8" s="478" customFormat="1" hidden="1">
      <c r="A892" s="479" t="s">
        <v>3055</v>
      </c>
      <c r="B892" s="483"/>
      <c r="C892" s="559" t="s">
        <v>3056</v>
      </c>
      <c r="D892" s="481" t="s">
        <v>281</v>
      </c>
      <c r="E892" s="466" t="str">
        <f t="shared" si="14"/>
        <v>CO</v>
      </c>
      <c r="F892" s="467">
        <v>50</v>
      </c>
      <c r="G892" s="467" t="s">
        <v>28</v>
      </c>
      <c r="H892" s="467" t="e">
        <v>#N/A</v>
      </c>
    </row>
    <row r="893" spans="1:8" s="478" customFormat="1" hidden="1">
      <c r="A893" s="479" t="s">
        <v>3057</v>
      </c>
      <c r="B893" s="483"/>
      <c r="C893" s="559" t="s">
        <v>3058</v>
      </c>
      <c r="D893" s="481" t="s">
        <v>281</v>
      </c>
      <c r="E893" s="466" t="str">
        <f t="shared" si="14"/>
        <v>CO</v>
      </c>
      <c r="F893" s="467">
        <v>50</v>
      </c>
      <c r="G893" s="467" t="s">
        <v>28</v>
      </c>
      <c r="H893" s="467" t="e">
        <v>#N/A</v>
      </c>
    </row>
    <row r="894" spans="1:8" s="478" customFormat="1" hidden="1">
      <c r="A894" s="473" t="s">
        <v>3059</v>
      </c>
      <c r="B894" s="474" t="s">
        <v>3060</v>
      </c>
      <c r="C894" s="558" t="s">
        <v>3061</v>
      </c>
      <c r="D894" s="475" t="s">
        <v>3062</v>
      </c>
      <c r="E894" s="466" t="str">
        <f t="shared" si="14"/>
        <v>TU</v>
      </c>
      <c r="F894" s="467">
        <v>2000</v>
      </c>
      <c r="G894" s="467" t="s">
        <v>28</v>
      </c>
      <c r="H894" s="467" t="e">
        <v>#N/A</v>
      </c>
    </row>
    <row r="895" spans="1:8" s="478" customFormat="1" hidden="1">
      <c r="A895" s="473" t="s">
        <v>3063</v>
      </c>
      <c r="B895" s="474" t="s">
        <v>3060</v>
      </c>
      <c r="C895" s="558" t="s">
        <v>3064</v>
      </c>
      <c r="D895" s="475" t="s">
        <v>3062</v>
      </c>
      <c r="E895" s="466" t="str">
        <f t="shared" si="14"/>
        <v>TU</v>
      </c>
      <c r="F895" s="467">
        <v>2000</v>
      </c>
      <c r="G895" s="467" t="s">
        <v>28</v>
      </c>
      <c r="H895" s="467" t="e">
        <v>#N/A</v>
      </c>
    </row>
    <row r="896" spans="1:8" s="478" customFormat="1" hidden="1">
      <c r="A896" s="473" t="s">
        <v>3065</v>
      </c>
      <c r="B896" s="474" t="s">
        <v>3060</v>
      </c>
      <c r="C896" s="558" t="s">
        <v>3066</v>
      </c>
      <c r="D896" s="475" t="s">
        <v>3062</v>
      </c>
      <c r="E896" s="466" t="str">
        <f t="shared" si="14"/>
        <v>TU</v>
      </c>
      <c r="F896" s="467">
        <v>2000</v>
      </c>
      <c r="G896" s="467" t="s">
        <v>28</v>
      </c>
      <c r="H896" s="467" t="e">
        <v>#N/A</v>
      </c>
    </row>
    <row r="897" spans="1:8" s="478" customFormat="1" hidden="1">
      <c r="A897" s="473" t="s">
        <v>3067</v>
      </c>
      <c r="B897" s="474" t="s">
        <v>3060</v>
      </c>
      <c r="C897" s="558" t="s">
        <v>3068</v>
      </c>
      <c r="D897" s="475" t="s">
        <v>3062</v>
      </c>
      <c r="E897" s="466" t="str">
        <f t="shared" si="14"/>
        <v>TU</v>
      </c>
      <c r="F897" s="467">
        <v>2000</v>
      </c>
      <c r="G897" s="467" t="s">
        <v>28</v>
      </c>
      <c r="H897" s="467" t="s">
        <v>3062</v>
      </c>
    </row>
    <row r="898" spans="1:8" s="478" customFormat="1" hidden="1">
      <c r="A898" s="473" t="s">
        <v>3069</v>
      </c>
      <c r="B898" s="474" t="s">
        <v>3060</v>
      </c>
      <c r="C898" s="558" t="s">
        <v>3070</v>
      </c>
      <c r="D898" s="475" t="s">
        <v>3062</v>
      </c>
      <c r="E898" s="466" t="str">
        <f t="shared" si="14"/>
        <v>TU</v>
      </c>
      <c r="F898" s="467">
        <v>2000</v>
      </c>
      <c r="G898" s="467" t="s">
        <v>28</v>
      </c>
      <c r="H898" s="467" t="e">
        <v>#N/A</v>
      </c>
    </row>
    <row r="899" spans="1:8" s="478" customFormat="1" hidden="1">
      <c r="A899" s="473" t="s">
        <v>3071</v>
      </c>
      <c r="B899" s="474" t="s">
        <v>3060</v>
      </c>
      <c r="C899" s="558" t="s">
        <v>3072</v>
      </c>
      <c r="D899" s="475" t="s">
        <v>3062</v>
      </c>
      <c r="E899" s="466" t="str">
        <f t="shared" si="14"/>
        <v>TU</v>
      </c>
      <c r="F899" s="467">
        <v>2000</v>
      </c>
      <c r="G899" s="467" t="s">
        <v>28</v>
      </c>
      <c r="H899" s="467" t="e">
        <v>#N/A</v>
      </c>
    </row>
    <row r="900" spans="1:8" s="478" customFormat="1" hidden="1">
      <c r="A900" s="473" t="s">
        <v>3073</v>
      </c>
      <c r="B900" s="474" t="s">
        <v>3060</v>
      </c>
      <c r="C900" s="558" t="s">
        <v>3074</v>
      </c>
      <c r="D900" s="475" t="s">
        <v>3062</v>
      </c>
      <c r="E900" s="466" t="str">
        <f t="shared" si="14"/>
        <v>TU</v>
      </c>
      <c r="F900" s="467">
        <v>2000</v>
      </c>
      <c r="G900" s="467" t="s">
        <v>28</v>
      </c>
      <c r="H900" s="467" t="s">
        <v>3062</v>
      </c>
    </row>
    <row r="901" spans="1:8" s="478" customFormat="1" hidden="1">
      <c r="A901" s="473" t="s">
        <v>3075</v>
      </c>
      <c r="B901" s="474" t="s">
        <v>3060</v>
      </c>
      <c r="C901" s="558" t="s">
        <v>3076</v>
      </c>
      <c r="D901" s="475" t="s">
        <v>3062</v>
      </c>
      <c r="E901" s="466" t="str">
        <f t="shared" si="14"/>
        <v>TU</v>
      </c>
      <c r="F901" s="467">
        <v>2000</v>
      </c>
      <c r="G901" s="467" t="s">
        <v>28</v>
      </c>
      <c r="H901" s="467" t="s">
        <v>3062</v>
      </c>
    </row>
    <row r="902" spans="1:8" s="478" customFormat="1" hidden="1">
      <c r="A902" s="473" t="s">
        <v>3077</v>
      </c>
      <c r="B902" s="474" t="s">
        <v>3060</v>
      </c>
      <c r="C902" s="558" t="s">
        <v>3078</v>
      </c>
      <c r="D902" s="475" t="s">
        <v>3062</v>
      </c>
      <c r="E902" s="466" t="str">
        <f t="shared" si="14"/>
        <v>TU</v>
      </c>
      <c r="F902" s="467">
        <v>2000</v>
      </c>
      <c r="G902" s="467" t="s">
        <v>28</v>
      </c>
      <c r="H902" s="467" t="s">
        <v>3062</v>
      </c>
    </row>
    <row r="903" spans="1:8" s="478" customFormat="1" hidden="1">
      <c r="A903" s="473" t="s">
        <v>3079</v>
      </c>
      <c r="B903" s="474" t="s">
        <v>3060</v>
      </c>
      <c r="C903" s="558" t="s">
        <v>3080</v>
      </c>
      <c r="D903" s="475" t="s">
        <v>3062</v>
      </c>
      <c r="E903" s="466" t="str">
        <f t="shared" si="14"/>
        <v>TU</v>
      </c>
      <c r="F903" s="467">
        <v>2000</v>
      </c>
      <c r="G903" s="467" t="s">
        <v>28</v>
      </c>
      <c r="H903" s="467" t="s">
        <v>3062</v>
      </c>
    </row>
    <row r="904" spans="1:8" s="478" customFormat="1" hidden="1">
      <c r="A904" s="473" t="s">
        <v>3081</v>
      </c>
      <c r="B904" s="474" t="s">
        <v>3060</v>
      </c>
      <c r="C904" s="558" t="s">
        <v>3082</v>
      </c>
      <c r="D904" s="475" t="s">
        <v>3062</v>
      </c>
      <c r="E904" s="466" t="str">
        <f t="shared" si="14"/>
        <v>TU</v>
      </c>
      <c r="F904" s="467">
        <v>2000</v>
      </c>
      <c r="G904" s="467" t="s">
        <v>28</v>
      </c>
      <c r="H904" s="467" t="e">
        <v>#N/A</v>
      </c>
    </row>
    <row r="905" spans="1:8" s="478" customFormat="1" hidden="1">
      <c r="A905" s="473" t="s">
        <v>3083</v>
      </c>
      <c r="B905" s="474" t="s">
        <v>3084</v>
      </c>
      <c r="C905" s="558" t="s">
        <v>3085</v>
      </c>
      <c r="D905" s="475" t="s">
        <v>3062</v>
      </c>
      <c r="E905" s="466" t="str">
        <f t="shared" si="14"/>
        <v>TU</v>
      </c>
      <c r="F905" s="467">
        <v>2000</v>
      </c>
      <c r="G905" s="467" t="s">
        <v>28</v>
      </c>
      <c r="H905" s="467" t="s">
        <v>3062</v>
      </c>
    </row>
    <row r="906" spans="1:8" s="478" customFormat="1" hidden="1">
      <c r="A906" s="473" t="s">
        <v>3086</v>
      </c>
      <c r="B906" s="474" t="s">
        <v>3060</v>
      </c>
      <c r="C906" s="558" t="s">
        <v>3087</v>
      </c>
      <c r="D906" s="475" t="s">
        <v>3062</v>
      </c>
      <c r="E906" s="466" t="str">
        <f t="shared" si="14"/>
        <v>TU</v>
      </c>
      <c r="F906" s="467">
        <v>2000</v>
      </c>
      <c r="G906" s="467" t="s">
        <v>28</v>
      </c>
      <c r="H906" s="467" t="s">
        <v>3062</v>
      </c>
    </row>
    <row r="907" spans="1:8" s="478" customFormat="1" hidden="1">
      <c r="A907" s="473" t="s">
        <v>3088</v>
      </c>
      <c r="B907" s="474" t="s">
        <v>3060</v>
      </c>
      <c r="C907" s="558" t="s">
        <v>3089</v>
      </c>
      <c r="D907" s="475" t="s">
        <v>3062</v>
      </c>
      <c r="E907" s="466" t="str">
        <f t="shared" si="14"/>
        <v>TU</v>
      </c>
      <c r="F907" s="467">
        <v>2000</v>
      </c>
      <c r="G907" s="467" t="s">
        <v>28</v>
      </c>
      <c r="H907" s="467" t="s">
        <v>3062</v>
      </c>
    </row>
    <row r="908" spans="1:8" s="478" customFormat="1" hidden="1">
      <c r="A908" s="473" t="s">
        <v>3090</v>
      </c>
      <c r="B908" s="474" t="s">
        <v>3060</v>
      </c>
      <c r="C908" s="558" t="s">
        <v>3091</v>
      </c>
      <c r="D908" s="475" t="s">
        <v>3062</v>
      </c>
      <c r="E908" s="466" t="str">
        <f t="shared" si="14"/>
        <v>TU</v>
      </c>
      <c r="F908" s="467">
        <v>2000</v>
      </c>
      <c r="G908" s="467" t="s">
        <v>28</v>
      </c>
      <c r="H908" s="467" t="s">
        <v>3062</v>
      </c>
    </row>
    <row r="909" spans="1:8" hidden="1">
      <c r="A909" s="469" t="s">
        <v>3092</v>
      </c>
      <c r="B909" s="470" t="s">
        <v>3093</v>
      </c>
      <c r="C909" s="469" t="s">
        <v>3094</v>
      </c>
      <c r="D909" s="471" t="s">
        <v>3062</v>
      </c>
      <c r="E909" s="466" t="str">
        <f t="shared" si="14"/>
        <v>TU</v>
      </c>
      <c r="F909" s="467">
        <v>50</v>
      </c>
      <c r="G909" s="467" t="s">
        <v>28</v>
      </c>
      <c r="H909" s="467" t="s">
        <v>3062</v>
      </c>
    </row>
    <row r="910" spans="1:8" hidden="1">
      <c r="A910" s="469" t="s">
        <v>3095</v>
      </c>
      <c r="B910" s="470" t="s">
        <v>3093</v>
      </c>
      <c r="C910" s="469" t="s">
        <v>3096</v>
      </c>
      <c r="D910" s="471" t="s">
        <v>3062</v>
      </c>
      <c r="E910" s="466" t="str">
        <f t="shared" si="14"/>
        <v>TU</v>
      </c>
      <c r="F910" s="467">
        <v>50</v>
      </c>
      <c r="G910" s="467" t="s">
        <v>28</v>
      </c>
      <c r="H910" s="467" t="e">
        <v>#N/A</v>
      </c>
    </row>
    <row r="911" spans="1:8" hidden="1">
      <c r="A911" s="469" t="s">
        <v>3097</v>
      </c>
      <c r="B911" s="470" t="s">
        <v>3093</v>
      </c>
      <c r="C911" s="469" t="s">
        <v>3098</v>
      </c>
      <c r="D911" s="471" t="s">
        <v>3062</v>
      </c>
      <c r="E911" s="466" t="str">
        <f t="shared" si="14"/>
        <v>TU</v>
      </c>
      <c r="F911" s="467">
        <v>50</v>
      </c>
      <c r="G911" s="467" t="s">
        <v>28</v>
      </c>
      <c r="H911" s="467" t="e">
        <v>#N/A</v>
      </c>
    </row>
    <row r="912" spans="1:8" hidden="1">
      <c r="A912" s="469" t="s">
        <v>3099</v>
      </c>
      <c r="B912" s="470" t="s">
        <v>3093</v>
      </c>
      <c r="C912" s="469" t="s">
        <v>3100</v>
      </c>
      <c r="D912" s="471" t="s">
        <v>3062</v>
      </c>
      <c r="E912" s="466" t="str">
        <f t="shared" ref="E912:E977" si="15">LEFT(A912,2)</f>
        <v>TU</v>
      </c>
      <c r="F912" s="467">
        <v>50</v>
      </c>
      <c r="G912" s="467" t="s">
        <v>28</v>
      </c>
      <c r="H912" s="467" t="e">
        <v>#N/A</v>
      </c>
    </row>
    <row r="913" spans="1:8" hidden="1">
      <c r="A913" s="469" t="s">
        <v>3101</v>
      </c>
      <c r="B913" s="470" t="s">
        <v>3102</v>
      </c>
      <c r="C913" s="469" t="s">
        <v>3103</v>
      </c>
      <c r="D913" s="471" t="s">
        <v>281</v>
      </c>
      <c r="E913" s="466" t="str">
        <f t="shared" si="15"/>
        <v>TU</v>
      </c>
      <c r="F913" s="467">
        <v>50</v>
      </c>
      <c r="G913" s="467" t="s">
        <v>28</v>
      </c>
      <c r="H913" s="467" t="e">
        <v>#N/A</v>
      </c>
    </row>
    <row r="914" spans="1:8" hidden="1">
      <c r="A914" s="469" t="s">
        <v>3104</v>
      </c>
      <c r="B914" s="470" t="s">
        <v>3102</v>
      </c>
      <c r="C914" s="469" t="s">
        <v>3105</v>
      </c>
      <c r="D914" s="471" t="s">
        <v>281</v>
      </c>
      <c r="E914" s="466" t="str">
        <f t="shared" si="15"/>
        <v>TU</v>
      </c>
      <c r="F914" s="467">
        <v>50</v>
      </c>
      <c r="G914" s="467" t="s">
        <v>28</v>
      </c>
      <c r="H914" s="467" t="e">
        <v>#N/A</v>
      </c>
    </row>
    <row r="915" spans="1:8" hidden="1">
      <c r="A915" s="469" t="s">
        <v>3106</v>
      </c>
      <c r="B915" s="470" t="s">
        <v>3102</v>
      </c>
      <c r="C915" s="469" t="s">
        <v>3107</v>
      </c>
      <c r="D915" s="471" t="s">
        <v>281</v>
      </c>
      <c r="E915" s="466" t="str">
        <f t="shared" si="15"/>
        <v>TU</v>
      </c>
      <c r="F915" s="467">
        <v>50</v>
      </c>
      <c r="G915" s="467" t="s">
        <v>28</v>
      </c>
      <c r="H915" s="467" t="e">
        <v>#N/A</v>
      </c>
    </row>
    <row r="916" spans="1:8" hidden="1">
      <c r="A916" s="469" t="s">
        <v>3108</v>
      </c>
      <c r="B916" s="470" t="s">
        <v>3109</v>
      </c>
      <c r="C916" s="469" t="s">
        <v>3110</v>
      </c>
      <c r="D916" s="471" t="s">
        <v>281</v>
      </c>
      <c r="E916" s="466" t="str">
        <f t="shared" si="15"/>
        <v>TU</v>
      </c>
      <c r="F916" s="467">
        <v>50</v>
      </c>
      <c r="G916" s="467" t="s">
        <v>28</v>
      </c>
      <c r="H916" s="467" t="s">
        <v>281</v>
      </c>
    </row>
    <row r="917" spans="1:8" hidden="1">
      <c r="A917" s="469" t="s">
        <v>3111</v>
      </c>
      <c r="B917" s="470" t="s">
        <v>3112</v>
      </c>
      <c r="C917" s="469" t="s">
        <v>3113</v>
      </c>
      <c r="D917" s="471" t="s">
        <v>281</v>
      </c>
      <c r="E917" s="466" t="str">
        <f t="shared" si="15"/>
        <v>TU</v>
      </c>
      <c r="F917" s="467">
        <v>50</v>
      </c>
      <c r="G917" s="467" t="s">
        <v>28</v>
      </c>
      <c r="H917" s="467" t="s">
        <v>281</v>
      </c>
    </row>
    <row r="918" spans="1:8" hidden="1">
      <c r="A918" s="469" t="s">
        <v>1232</v>
      </c>
      <c r="B918" s="485" t="s">
        <v>3114</v>
      </c>
      <c r="C918" s="469" t="s">
        <v>3115</v>
      </c>
      <c r="D918" s="471" t="s">
        <v>281</v>
      </c>
      <c r="E918" s="466" t="str">
        <f t="shared" si="15"/>
        <v>TU</v>
      </c>
      <c r="F918" s="467">
        <v>50</v>
      </c>
      <c r="G918" s="467" t="s">
        <v>28</v>
      </c>
      <c r="H918" s="467">
        <v>0</v>
      </c>
    </row>
    <row r="919" spans="1:8" s="478" customFormat="1" hidden="1">
      <c r="A919" s="469" t="s">
        <v>1335</v>
      </c>
      <c r="B919" s="485" t="s">
        <v>3114</v>
      </c>
      <c r="C919" s="469" t="s">
        <v>3116</v>
      </c>
      <c r="D919" s="471" t="s">
        <v>281</v>
      </c>
      <c r="E919" s="466" t="str">
        <f t="shared" si="15"/>
        <v>TU</v>
      </c>
      <c r="F919" s="467">
        <v>50</v>
      </c>
      <c r="G919" s="467" t="s">
        <v>28</v>
      </c>
      <c r="H919" s="467">
        <v>0</v>
      </c>
    </row>
    <row r="920" spans="1:8" hidden="1">
      <c r="A920" s="469" t="s">
        <v>3117</v>
      </c>
      <c r="B920" s="485" t="s">
        <v>3102</v>
      </c>
      <c r="C920" s="469" t="s">
        <v>3118</v>
      </c>
      <c r="D920" s="471" t="s">
        <v>281</v>
      </c>
      <c r="E920" s="466" t="str">
        <f t="shared" si="15"/>
        <v>TU</v>
      </c>
      <c r="F920" s="467">
        <v>50</v>
      </c>
      <c r="G920" s="467" t="s">
        <v>28</v>
      </c>
      <c r="H920" s="467" t="s">
        <v>281</v>
      </c>
    </row>
    <row r="921" spans="1:8" hidden="1">
      <c r="A921" s="469" t="s">
        <v>3119</v>
      </c>
      <c r="B921" s="485" t="s">
        <v>3109</v>
      </c>
      <c r="C921" s="469" t="s">
        <v>3120</v>
      </c>
      <c r="D921" s="471" t="s">
        <v>281</v>
      </c>
      <c r="E921" s="466" t="str">
        <f t="shared" si="15"/>
        <v>TU</v>
      </c>
      <c r="F921" s="467">
        <v>50</v>
      </c>
      <c r="G921" s="467" t="s">
        <v>28</v>
      </c>
      <c r="H921" s="467" t="s">
        <v>281</v>
      </c>
    </row>
    <row r="922" spans="1:8" hidden="1">
      <c r="A922" s="469" t="s">
        <v>3121</v>
      </c>
      <c r="B922" s="485" t="s">
        <v>3102</v>
      </c>
      <c r="C922" s="469" t="s">
        <v>3122</v>
      </c>
      <c r="D922" s="471" t="s">
        <v>1504</v>
      </c>
      <c r="E922" s="466" t="str">
        <f t="shared" si="15"/>
        <v>KH</v>
      </c>
      <c r="F922" s="467">
        <v>50</v>
      </c>
      <c r="G922" s="467" t="s">
        <v>28</v>
      </c>
      <c r="H922" s="467" t="s">
        <v>1504</v>
      </c>
    </row>
    <row r="923" spans="1:8" hidden="1">
      <c r="A923" s="469" t="s">
        <v>1219</v>
      </c>
      <c r="B923" s="485" t="s">
        <v>3114</v>
      </c>
      <c r="C923" s="469" t="s">
        <v>3123</v>
      </c>
      <c r="D923" s="471" t="s">
        <v>281</v>
      </c>
      <c r="E923" s="466" t="str">
        <f t="shared" si="15"/>
        <v>TU</v>
      </c>
      <c r="F923" s="467">
        <v>50</v>
      </c>
      <c r="G923" s="467" t="s">
        <v>28</v>
      </c>
      <c r="H923" s="467">
        <v>0</v>
      </c>
    </row>
    <row r="924" spans="1:8" hidden="1">
      <c r="A924" s="473" t="s">
        <v>3124</v>
      </c>
      <c r="B924" s="475"/>
      <c r="C924" s="473" t="s">
        <v>3125</v>
      </c>
      <c r="D924" s="475" t="s">
        <v>281</v>
      </c>
      <c r="E924" s="466" t="str">
        <f t="shared" si="15"/>
        <v>AT</v>
      </c>
      <c r="F924" s="467">
        <v>50</v>
      </c>
      <c r="G924" s="467" t="s">
        <v>28</v>
      </c>
      <c r="H924" s="467" t="e">
        <v>#N/A</v>
      </c>
    </row>
    <row r="925" spans="1:8" hidden="1">
      <c r="A925" s="473" t="s">
        <v>3126</v>
      </c>
      <c r="B925" s="475"/>
      <c r="C925" s="473" t="s">
        <v>3127</v>
      </c>
      <c r="D925" s="475" t="s">
        <v>281</v>
      </c>
      <c r="E925" s="466" t="str">
        <f t="shared" si="15"/>
        <v>AT</v>
      </c>
      <c r="F925" s="467">
        <v>50</v>
      </c>
      <c r="G925" s="467" t="s">
        <v>28</v>
      </c>
      <c r="H925" s="467" t="e">
        <v>#N/A</v>
      </c>
    </row>
    <row r="926" spans="1:8" hidden="1">
      <c r="A926" s="473" t="s">
        <v>3128</v>
      </c>
      <c r="B926" s="475"/>
      <c r="C926" s="473" t="s">
        <v>3129</v>
      </c>
      <c r="D926" s="475" t="s">
        <v>281</v>
      </c>
      <c r="E926" s="466" t="str">
        <f t="shared" si="15"/>
        <v>AT</v>
      </c>
      <c r="F926" s="467">
        <v>50</v>
      </c>
      <c r="G926" s="467" t="s">
        <v>28</v>
      </c>
      <c r="H926" s="467" t="e">
        <v>#N/A</v>
      </c>
    </row>
    <row r="927" spans="1:8" hidden="1">
      <c r="A927" s="494" t="s">
        <v>3130</v>
      </c>
      <c r="B927" s="560" t="s">
        <v>3131</v>
      </c>
      <c r="C927" s="494" t="s">
        <v>3132</v>
      </c>
      <c r="D927" s="495" t="s">
        <v>281</v>
      </c>
      <c r="E927" s="466" t="str">
        <f t="shared" si="15"/>
        <v>AT</v>
      </c>
      <c r="F927" s="467">
        <v>5</v>
      </c>
      <c r="G927" s="467" t="s">
        <v>28</v>
      </c>
      <c r="H927" s="467" t="s">
        <v>281</v>
      </c>
    </row>
    <row r="928" spans="1:8" hidden="1">
      <c r="A928" s="494" t="s">
        <v>3133</v>
      </c>
      <c r="B928" s="560" t="s">
        <v>3131</v>
      </c>
      <c r="C928" s="494" t="s">
        <v>3134</v>
      </c>
      <c r="D928" s="495" t="s">
        <v>281</v>
      </c>
      <c r="E928" s="466" t="str">
        <f t="shared" si="15"/>
        <v>AT</v>
      </c>
      <c r="F928" s="467">
        <v>5</v>
      </c>
      <c r="G928" s="467" t="s">
        <v>28</v>
      </c>
      <c r="H928" s="467" t="e">
        <v>#N/A</v>
      </c>
    </row>
    <row r="929" spans="1:8" hidden="1">
      <c r="A929" s="494" t="s">
        <v>3135</v>
      </c>
      <c r="B929" s="560" t="s">
        <v>3131</v>
      </c>
      <c r="C929" s="494" t="s">
        <v>3136</v>
      </c>
      <c r="D929" s="495" t="s">
        <v>281</v>
      </c>
      <c r="E929" s="466" t="str">
        <f t="shared" si="15"/>
        <v>AT</v>
      </c>
      <c r="F929" s="467">
        <v>5</v>
      </c>
      <c r="G929" s="467" t="s">
        <v>28</v>
      </c>
      <c r="H929" s="467" t="s">
        <v>281</v>
      </c>
    </row>
    <row r="930" spans="1:8" hidden="1">
      <c r="A930" s="494" t="s">
        <v>1349</v>
      </c>
      <c r="B930" s="560" t="s">
        <v>3131</v>
      </c>
      <c r="C930" s="494" t="s">
        <v>3137</v>
      </c>
      <c r="D930" s="495" t="s">
        <v>281</v>
      </c>
      <c r="E930" s="466" t="str">
        <f t="shared" si="15"/>
        <v>AT</v>
      </c>
      <c r="F930" s="467">
        <v>5</v>
      </c>
      <c r="G930" s="467" t="s">
        <v>28</v>
      </c>
      <c r="H930" s="467">
        <v>0</v>
      </c>
    </row>
    <row r="931" spans="1:8" hidden="1">
      <c r="A931" s="494" t="s">
        <v>1205</v>
      </c>
      <c r="B931" s="560" t="s">
        <v>3131</v>
      </c>
      <c r="C931" s="494" t="s">
        <v>3138</v>
      </c>
      <c r="D931" s="495" t="s">
        <v>281</v>
      </c>
      <c r="E931" s="466" t="str">
        <f>LEFT(A931,2)</f>
        <v>AT</v>
      </c>
      <c r="F931" s="467">
        <v>5</v>
      </c>
      <c r="G931" s="467" t="s">
        <v>28</v>
      </c>
      <c r="H931" s="467">
        <v>0</v>
      </c>
    </row>
    <row r="932" spans="1:8" hidden="1">
      <c r="A932" s="494" t="s">
        <v>3139</v>
      </c>
      <c r="B932" s="560" t="s">
        <v>3131</v>
      </c>
      <c r="C932" s="494" t="s">
        <v>3140</v>
      </c>
      <c r="D932" s="495" t="s">
        <v>281</v>
      </c>
      <c r="E932" s="466" t="str">
        <f t="shared" si="15"/>
        <v>AT</v>
      </c>
      <c r="F932" s="467">
        <v>5</v>
      </c>
      <c r="G932" s="467" t="s">
        <v>28</v>
      </c>
      <c r="H932" s="467" t="s">
        <v>281</v>
      </c>
    </row>
    <row r="933" spans="1:8" hidden="1">
      <c r="A933" s="494" t="s">
        <v>3141</v>
      </c>
      <c r="B933" s="560" t="s">
        <v>3131</v>
      </c>
      <c r="C933" s="494" t="s">
        <v>3142</v>
      </c>
      <c r="D933" s="495" t="s">
        <v>281</v>
      </c>
      <c r="E933" s="466" t="str">
        <f t="shared" si="15"/>
        <v>AT</v>
      </c>
      <c r="F933" s="467">
        <v>5</v>
      </c>
      <c r="G933" s="467" t="s">
        <v>28</v>
      </c>
      <c r="H933" s="467" t="e">
        <v>#N/A</v>
      </c>
    </row>
    <row r="934" spans="1:8" hidden="1">
      <c r="A934" s="494" t="s">
        <v>3143</v>
      </c>
      <c r="B934" s="560" t="s">
        <v>3131</v>
      </c>
      <c r="C934" s="494" t="s">
        <v>3144</v>
      </c>
      <c r="D934" s="495" t="s">
        <v>281</v>
      </c>
      <c r="E934" s="466" t="str">
        <f t="shared" si="15"/>
        <v>AT</v>
      </c>
      <c r="F934" s="467">
        <v>5</v>
      </c>
      <c r="G934" s="467" t="s">
        <v>28</v>
      </c>
      <c r="H934" s="467" t="s">
        <v>281</v>
      </c>
    </row>
    <row r="935" spans="1:8" hidden="1">
      <c r="A935" s="494" t="s">
        <v>3145</v>
      </c>
      <c r="B935" s="560" t="s">
        <v>3131</v>
      </c>
      <c r="C935" s="494" t="s">
        <v>3146</v>
      </c>
      <c r="D935" s="495" t="s">
        <v>281</v>
      </c>
      <c r="E935" s="466" t="str">
        <f t="shared" si="15"/>
        <v>AT</v>
      </c>
      <c r="F935" s="467">
        <v>5</v>
      </c>
      <c r="G935" s="467" t="s">
        <v>28</v>
      </c>
      <c r="H935" s="467" t="s">
        <v>281</v>
      </c>
    </row>
    <row r="936" spans="1:8" hidden="1">
      <c r="A936" s="494" t="s">
        <v>3147</v>
      </c>
      <c r="B936" s="560" t="s">
        <v>3148</v>
      </c>
      <c r="C936" s="494" t="s">
        <v>3149</v>
      </c>
      <c r="D936" s="495" t="s">
        <v>281</v>
      </c>
      <c r="E936" s="466" t="str">
        <f t="shared" si="15"/>
        <v>AT</v>
      </c>
      <c r="F936" s="467">
        <v>5</v>
      </c>
      <c r="G936" s="467" t="s">
        <v>28</v>
      </c>
      <c r="H936" s="467" t="s">
        <v>281</v>
      </c>
    </row>
    <row r="937" spans="1:8" hidden="1">
      <c r="A937" s="494" t="s">
        <v>3150</v>
      </c>
      <c r="B937" s="560" t="s">
        <v>3151</v>
      </c>
      <c r="C937" s="494" t="s">
        <v>3152</v>
      </c>
      <c r="D937" s="495" t="s">
        <v>281</v>
      </c>
      <c r="E937" s="466" t="str">
        <f t="shared" si="15"/>
        <v>AT</v>
      </c>
      <c r="F937" s="467">
        <v>5</v>
      </c>
      <c r="G937" s="467" t="s">
        <v>28</v>
      </c>
      <c r="H937" s="467" t="s">
        <v>281</v>
      </c>
    </row>
    <row r="938" spans="1:8" hidden="1">
      <c r="A938" s="494" t="s">
        <v>3153</v>
      </c>
      <c r="B938" s="560" t="s">
        <v>3151</v>
      </c>
      <c r="C938" s="494" t="s">
        <v>3154</v>
      </c>
      <c r="D938" s="495" t="s">
        <v>281</v>
      </c>
      <c r="E938" s="466" t="str">
        <f t="shared" si="15"/>
        <v>AT</v>
      </c>
      <c r="F938" s="467">
        <v>5</v>
      </c>
      <c r="G938" s="467" t="s">
        <v>28</v>
      </c>
      <c r="H938" s="467" t="e">
        <v>#N/A</v>
      </c>
    </row>
    <row r="939" spans="1:8" hidden="1">
      <c r="A939" s="494" t="s">
        <v>3155</v>
      </c>
      <c r="B939" s="560" t="s">
        <v>3151</v>
      </c>
      <c r="C939" s="494" t="s">
        <v>3156</v>
      </c>
      <c r="D939" s="495" t="s">
        <v>281</v>
      </c>
      <c r="E939" s="466" t="str">
        <f t="shared" si="15"/>
        <v>AT</v>
      </c>
      <c r="F939" s="467">
        <v>5</v>
      </c>
      <c r="G939" s="467" t="s">
        <v>28</v>
      </c>
      <c r="H939" s="467" t="s">
        <v>281</v>
      </c>
    </row>
    <row r="940" spans="1:8" hidden="1">
      <c r="A940" s="494" t="s">
        <v>3157</v>
      </c>
      <c r="B940" s="560" t="s">
        <v>3151</v>
      </c>
      <c r="C940" s="494" t="s">
        <v>3158</v>
      </c>
      <c r="D940" s="495" t="s">
        <v>281</v>
      </c>
      <c r="E940" s="466" t="str">
        <f t="shared" si="15"/>
        <v>AT</v>
      </c>
      <c r="F940" s="467">
        <v>5</v>
      </c>
      <c r="G940" s="467" t="s">
        <v>28</v>
      </c>
      <c r="H940" s="467" t="s">
        <v>281</v>
      </c>
    </row>
    <row r="941" spans="1:8" hidden="1">
      <c r="A941" s="494" t="s">
        <v>3159</v>
      </c>
      <c r="B941" s="560" t="s">
        <v>3160</v>
      </c>
      <c r="C941" s="494" t="s">
        <v>3161</v>
      </c>
      <c r="D941" s="495" t="s">
        <v>281</v>
      </c>
      <c r="E941" s="466" t="str">
        <f t="shared" si="15"/>
        <v>AT</v>
      </c>
      <c r="F941" s="467">
        <v>5</v>
      </c>
      <c r="G941" s="467" t="s">
        <v>28</v>
      </c>
      <c r="H941" s="467" t="s">
        <v>281</v>
      </c>
    </row>
    <row r="942" spans="1:8" s="478" customFormat="1" hidden="1">
      <c r="A942" s="494" t="s">
        <v>3162</v>
      </c>
      <c r="B942" s="560" t="s">
        <v>3160</v>
      </c>
      <c r="C942" s="494" t="s">
        <v>3163</v>
      </c>
      <c r="D942" s="495" t="s">
        <v>281</v>
      </c>
      <c r="E942" s="466" t="str">
        <f t="shared" si="15"/>
        <v>AT</v>
      </c>
      <c r="F942" s="467">
        <v>5</v>
      </c>
      <c r="G942" s="467" t="s">
        <v>28</v>
      </c>
      <c r="H942" s="467" t="e">
        <v>#N/A</v>
      </c>
    </row>
    <row r="943" spans="1:8" s="478" customFormat="1" hidden="1">
      <c r="A943" s="494" t="s">
        <v>3164</v>
      </c>
      <c r="B943" s="560" t="s">
        <v>3160</v>
      </c>
      <c r="C943" s="494" t="s">
        <v>3165</v>
      </c>
      <c r="D943" s="495" t="s">
        <v>281</v>
      </c>
      <c r="E943" s="466" t="str">
        <f t="shared" si="15"/>
        <v>AT</v>
      </c>
      <c r="F943" s="467">
        <v>5</v>
      </c>
      <c r="G943" s="467" t="s">
        <v>28</v>
      </c>
      <c r="H943" s="467" t="e">
        <v>#N/A</v>
      </c>
    </row>
    <row r="944" spans="1:8" s="478" customFormat="1" hidden="1">
      <c r="A944" s="494" t="s">
        <v>3166</v>
      </c>
      <c r="B944" s="560" t="s">
        <v>3160</v>
      </c>
      <c r="C944" s="494" t="s">
        <v>3167</v>
      </c>
      <c r="D944" s="495" t="s">
        <v>281</v>
      </c>
      <c r="E944" s="466" t="str">
        <f t="shared" si="15"/>
        <v>AC</v>
      </c>
      <c r="F944" s="467">
        <v>50</v>
      </c>
      <c r="G944" s="467" t="s">
        <v>28</v>
      </c>
      <c r="H944" s="467" t="e">
        <v>#N/A</v>
      </c>
    </row>
    <row r="945" spans="1:8" s="478" customFormat="1" hidden="1">
      <c r="A945" s="494" t="s">
        <v>3168</v>
      </c>
      <c r="B945" s="560" t="s">
        <v>3160</v>
      </c>
      <c r="C945" s="494" t="s">
        <v>3169</v>
      </c>
      <c r="D945" s="495" t="s">
        <v>281</v>
      </c>
      <c r="E945" s="466" t="str">
        <f t="shared" si="15"/>
        <v>AC</v>
      </c>
      <c r="F945" s="467">
        <v>50</v>
      </c>
      <c r="G945" s="467" t="s">
        <v>28</v>
      </c>
      <c r="H945" s="467" t="e">
        <v>#N/A</v>
      </c>
    </row>
    <row r="946" spans="1:8" s="478" customFormat="1" hidden="1">
      <c r="A946" s="494" t="s">
        <v>3170</v>
      </c>
      <c r="B946" s="560" t="s">
        <v>3160</v>
      </c>
      <c r="C946" s="494" t="s">
        <v>3171</v>
      </c>
      <c r="D946" s="495" t="s">
        <v>281</v>
      </c>
      <c r="E946" s="466" t="str">
        <f t="shared" si="15"/>
        <v>AC</v>
      </c>
      <c r="F946" s="467">
        <v>50</v>
      </c>
      <c r="G946" s="467" t="s">
        <v>28</v>
      </c>
      <c r="H946" s="467" t="e">
        <v>#N/A</v>
      </c>
    </row>
    <row r="947" spans="1:8" s="478" customFormat="1" hidden="1">
      <c r="A947" s="494" t="s">
        <v>3172</v>
      </c>
      <c r="B947" s="560" t="s">
        <v>3160</v>
      </c>
      <c r="C947" s="494" t="s">
        <v>3173</v>
      </c>
      <c r="D947" s="495" t="s">
        <v>281</v>
      </c>
      <c r="E947" s="466" t="str">
        <f t="shared" si="15"/>
        <v>AC</v>
      </c>
      <c r="F947" s="467">
        <v>50</v>
      </c>
      <c r="G947" s="467" t="s">
        <v>28</v>
      </c>
      <c r="H947" s="467" t="e">
        <v>#N/A</v>
      </c>
    </row>
    <row r="948" spans="1:8" s="478" customFormat="1" hidden="1">
      <c r="A948" s="494" t="s">
        <v>3174</v>
      </c>
      <c r="B948" s="560" t="s">
        <v>3160</v>
      </c>
      <c r="C948" s="494" t="s">
        <v>3175</v>
      </c>
      <c r="D948" s="495" t="s">
        <v>281</v>
      </c>
      <c r="E948" s="466" t="str">
        <f t="shared" si="15"/>
        <v>AC</v>
      </c>
      <c r="F948" s="467">
        <v>50</v>
      </c>
      <c r="G948" s="467" t="s">
        <v>28</v>
      </c>
      <c r="H948" s="467" t="e">
        <v>#N/A</v>
      </c>
    </row>
    <row r="949" spans="1:8" s="478" customFormat="1" hidden="1">
      <c r="A949" s="494" t="s">
        <v>3176</v>
      </c>
      <c r="B949" s="560" t="s">
        <v>3160</v>
      </c>
      <c r="C949" s="494" t="s">
        <v>3177</v>
      </c>
      <c r="D949" s="495" t="s">
        <v>281</v>
      </c>
      <c r="E949" s="466" t="str">
        <f t="shared" si="15"/>
        <v>AC</v>
      </c>
      <c r="F949" s="467">
        <v>50</v>
      </c>
      <c r="G949" s="467" t="s">
        <v>28</v>
      </c>
      <c r="H949" s="467" t="e">
        <v>#N/A</v>
      </c>
    </row>
    <row r="950" spans="1:8" s="478" customFormat="1" hidden="1">
      <c r="A950" s="494" t="s">
        <v>3178</v>
      </c>
      <c r="B950" s="560" t="s">
        <v>3160</v>
      </c>
      <c r="C950" s="494" t="s">
        <v>3179</v>
      </c>
      <c r="D950" s="495" t="s">
        <v>281</v>
      </c>
      <c r="E950" s="466" t="str">
        <f t="shared" si="15"/>
        <v>AC</v>
      </c>
      <c r="F950" s="467">
        <v>50</v>
      </c>
      <c r="G950" s="467" t="s">
        <v>28</v>
      </c>
      <c r="H950" s="467" t="e">
        <v>#N/A</v>
      </c>
    </row>
    <row r="951" spans="1:8" hidden="1">
      <c r="A951" s="494" t="s">
        <v>3180</v>
      </c>
      <c r="B951" s="560"/>
      <c r="C951" s="494" t="s">
        <v>3181</v>
      </c>
      <c r="D951" s="495" t="s">
        <v>281</v>
      </c>
      <c r="E951" s="466" t="str">
        <f t="shared" si="15"/>
        <v>AP</v>
      </c>
      <c r="F951" s="467">
        <v>50</v>
      </c>
      <c r="G951" s="467" t="s">
        <v>28</v>
      </c>
      <c r="H951" s="467" t="e">
        <v>#N/A</v>
      </c>
    </row>
    <row r="952" spans="1:8" hidden="1">
      <c r="A952" s="494" t="s">
        <v>3182</v>
      </c>
      <c r="B952" s="560"/>
      <c r="C952" s="494" t="s">
        <v>3183</v>
      </c>
      <c r="D952" s="495" t="s">
        <v>281</v>
      </c>
      <c r="E952" s="466" t="str">
        <f t="shared" si="15"/>
        <v>AP</v>
      </c>
      <c r="F952" s="467">
        <v>50</v>
      </c>
      <c r="G952" s="467" t="s">
        <v>28</v>
      </c>
      <c r="H952" s="467" t="e">
        <v>#N/A</v>
      </c>
    </row>
    <row r="953" spans="1:8" hidden="1">
      <c r="A953" s="479" t="s">
        <v>3184</v>
      </c>
      <c r="B953" s="483"/>
      <c r="C953" s="479" t="s">
        <v>3185</v>
      </c>
      <c r="D953" s="481" t="s">
        <v>3186</v>
      </c>
      <c r="E953" s="466" t="str">
        <f t="shared" si="15"/>
        <v>CH</v>
      </c>
      <c r="F953" s="467">
        <v>50</v>
      </c>
      <c r="G953" s="467" t="s">
        <v>28</v>
      </c>
      <c r="H953" s="467" t="s">
        <v>3186</v>
      </c>
    </row>
    <row r="954" spans="1:8" hidden="1">
      <c r="A954" s="479" t="s">
        <v>3187</v>
      </c>
      <c r="B954" s="483"/>
      <c r="C954" s="479" t="s">
        <v>3188</v>
      </c>
      <c r="D954" s="481" t="s">
        <v>3186</v>
      </c>
      <c r="E954" s="466" t="str">
        <f t="shared" si="15"/>
        <v>CH</v>
      </c>
      <c r="F954" s="467">
        <v>50</v>
      </c>
      <c r="G954" s="467" t="s">
        <v>28</v>
      </c>
      <c r="H954" s="467" t="s">
        <v>3186</v>
      </c>
    </row>
    <row r="955" spans="1:8" hidden="1">
      <c r="A955" s="479" t="s">
        <v>3189</v>
      </c>
      <c r="B955" s="483"/>
      <c r="C955" s="479" t="s">
        <v>3190</v>
      </c>
      <c r="D955" s="481" t="s">
        <v>3186</v>
      </c>
      <c r="E955" s="466" t="str">
        <f t="shared" si="15"/>
        <v>CH</v>
      </c>
      <c r="F955" s="467">
        <v>50</v>
      </c>
      <c r="G955" s="467" t="s">
        <v>28</v>
      </c>
      <c r="H955" s="467">
        <v>0</v>
      </c>
    </row>
    <row r="956" spans="1:8" hidden="1">
      <c r="A956" s="479" t="s">
        <v>3191</v>
      </c>
      <c r="B956" s="483"/>
      <c r="C956" s="479" t="s">
        <v>3192</v>
      </c>
      <c r="D956" s="481" t="s">
        <v>3186</v>
      </c>
      <c r="E956" s="466" t="str">
        <f t="shared" si="15"/>
        <v>CH</v>
      </c>
      <c r="F956" s="467">
        <v>50</v>
      </c>
      <c r="G956" s="467" t="s">
        <v>28</v>
      </c>
      <c r="H956" s="467">
        <v>0</v>
      </c>
    </row>
    <row r="957" spans="1:8" hidden="1">
      <c r="A957" s="479" t="s">
        <v>3193</v>
      </c>
      <c r="B957" s="483"/>
      <c r="C957" s="479" t="s">
        <v>3194</v>
      </c>
      <c r="D957" s="481" t="s">
        <v>3186</v>
      </c>
      <c r="E957" s="466" t="str">
        <f t="shared" si="15"/>
        <v>CH</v>
      </c>
      <c r="F957" s="467">
        <v>50</v>
      </c>
      <c r="G957" s="467" t="s">
        <v>28</v>
      </c>
      <c r="H957" s="467">
        <v>0</v>
      </c>
    </row>
    <row r="958" spans="1:8" hidden="1">
      <c r="A958" s="479" t="s">
        <v>3195</v>
      </c>
      <c r="B958" s="483"/>
      <c r="C958" s="479" t="s">
        <v>3196</v>
      </c>
      <c r="D958" s="481" t="s">
        <v>3186</v>
      </c>
      <c r="E958" s="466" t="str">
        <f t="shared" si="15"/>
        <v>CH</v>
      </c>
      <c r="F958" s="467">
        <v>50</v>
      </c>
      <c r="G958" s="467" t="s">
        <v>28</v>
      </c>
      <c r="H958" s="467" t="s">
        <v>3186</v>
      </c>
    </row>
    <row r="959" spans="1:8" hidden="1">
      <c r="A959" s="479" t="s">
        <v>3197</v>
      </c>
      <c r="B959" s="483"/>
      <c r="C959" s="479" t="s">
        <v>3198</v>
      </c>
      <c r="D959" s="481" t="s">
        <v>3186</v>
      </c>
      <c r="E959" s="466" t="str">
        <f t="shared" si="15"/>
        <v>CH</v>
      </c>
      <c r="F959" s="467">
        <v>50</v>
      </c>
      <c r="G959" s="467" t="s">
        <v>28</v>
      </c>
      <c r="H959" s="467" t="e">
        <v>#N/A</v>
      </c>
    </row>
    <row r="960" spans="1:8" hidden="1">
      <c r="A960" s="479" t="s">
        <v>3199</v>
      </c>
      <c r="B960" s="483"/>
      <c r="C960" s="479" t="s">
        <v>3200</v>
      </c>
      <c r="D960" s="481" t="s">
        <v>3186</v>
      </c>
      <c r="E960" s="466" t="str">
        <f t="shared" si="15"/>
        <v>CH</v>
      </c>
      <c r="F960" s="467">
        <v>50</v>
      </c>
      <c r="G960" s="467" t="s">
        <v>28</v>
      </c>
      <c r="H960" s="467" t="s">
        <v>3186</v>
      </c>
    </row>
    <row r="961" spans="1:8" hidden="1">
      <c r="A961" s="479" t="s">
        <v>3201</v>
      </c>
      <c r="B961" s="483"/>
      <c r="C961" s="479" t="s">
        <v>3202</v>
      </c>
      <c r="D961" s="481" t="s">
        <v>3186</v>
      </c>
      <c r="E961" s="466" t="str">
        <f t="shared" si="15"/>
        <v>CH</v>
      </c>
      <c r="F961" s="467">
        <v>50</v>
      </c>
      <c r="G961" s="467" t="s">
        <v>28</v>
      </c>
      <c r="H961" s="467" t="s">
        <v>3186</v>
      </c>
    </row>
    <row r="962" spans="1:8" hidden="1">
      <c r="A962" s="479" t="s">
        <v>3203</v>
      </c>
      <c r="B962" s="483"/>
      <c r="C962" s="479" t="s">
        <v>3204</v>
      </c>
      <c r="D962" s="481" t="s">
        <v>3186</v>
      </c>
      <c r="E962" s="466" t="str">
        <f t="shared" si="15"/>
        <v>CH</v>
      </c>
      <c r="F962" s="467">
        <v>50</v>
      </c>
      <c r="G962" s="467" t="s">
        <v>28</v>
      </c>
      <c r="H962" s="467" t="s">
        <v>3186</v>
      </c>
    </row>
    <row r="963" spans="1:8" hidden="1">
      <c r="A963" s="479" t="s">
        <v>3205</v>
      </c>
      <c r="B963" s="483"/>
      <c r="C963" s="479" t="s">
        <v>3206</v>
      </c>
      <c r="D963" s="481" t="s">
        <v>3186</v>
      </c>
      <c r="E963" s="466" t="str">
        <f t="shared" si="15"/>
        <v>CH</v>
      </c>
      <c r="F963" s="467">
        <v>50</v>
      </c>
      <c r="G963" s="467" t="s">
        <v>28</v>
      </c>
      <c r="H963" s="467" t="e">
        <v>#N/A</v>
      </c>
    </row>
    <row r="964" spans="1:8" hidden="1">
      <c r="A964" s="479" t="s">
        <v>3207</v>
      </c>
      <c r="B964" s="483"/>
      <c r="C964" s="479" t="s">
        <v>3208</v>
      </c>
      <c r="D964" s="481" t="s">
        <v>3186</v>
      </c>
      <c r="E964" s="466" t="str">
        <f t="shared" si="15"/>
        <v>CH</v>
      </c>
      <c r="F964" s="467">
        <v>50</v>
      </c>
      <c r="G964" s="467" t="s">
        <v>28</v>
      </c>
      <c r="H964" s="467" t="e">
        <v>#N/A</v>
      </c>
    </row>
    <row r="965" spans="1:8" hidden="1">
      <c r="A965" s="479" t="s">
        <v>3209</v>
      </c>
      <c r="B965" s="483"/>
      <c r="C965" s="479" t="s">
        <v>3210</v>
      </c>
      <c r="D965" s="481" t="s">
        <v>3186</v>
      </c>
      <c r="E965" s="466" t="str">
        <f t="shared" si="15"/>
        <v>CH</v>
      </c>
      <c r="F965" s="467">
        <v>50</v>
      </c>
      <c r="G965" s="467" t="s">
        <v>28</v>
      </c>
      <c r="H965" s="467">
        <v>0</v>
      </c>
    </row>
    <row r="966" spans="1:8" hidden="1">
      <c r="A966" s="479" t="s">
        <v>3211</v>
      </c>
      <c r="B966" s="483"/>
      <c r="C966" s="479" t="s">
        <v>3212</v>
      </c>
      <c r="D966" s="481" t="s">
        <v>3186</v>
      </c>
      <c r="E966" s="466" t="str">
        <f t="shared" si="15"/>
        <v>CH</v>
      </c>
      <c r="F966" s="467">
        <v>50</v>
      </c>
      <c r="G966" s="467" t="s">
        <v>28</v>
      </c>
      <c r="H966" s="467">
        <v>0</v>
      </c>
    </row>
    <row r="967" spans="1:8" hidden="1">
      <c r="A967" s="479" t="s">
        <v>3213</v>
      </c>
      <c r="B967" s="483"/>
      <c r="C967" s="479" t="s">
        <v>3214</v>
      </c>
      <c r="D967" s="481" t="s">
        <v>3186</v>
      </c>
      <c r="E967" s="466" t="str">
        <f t="shared" si="15"/>
        <v>CH</v>
      </c>
      <c r="F967" s="467">
        <v>50</v>
      </c>
      <c r="G967" s="467" t="s">
        <v>28</v>
      </c>
      <c r="H967" s="467" t="e">
        <v>#N/A</v>
      </c>
    </row>
    <row r="968" spans="1:8" hidden="1">
      <c r="A968" s="469" t="s">
        <v>3215</v>
      </c>
      <c r="B968" s="561"/>
      <c r="C968" s="469" t="s">
        <v>3216</v>
      </c>
      <c r="D968" s="471" t="s">
        <v>281</v>
      </c>
      <c r="E968" s="466" t="str">
        <f t="shared" si="15"/>
        <v>DK</v>
      </c>
      <c r="F968" s="467">
        <v>2000</v>
      </c>
      <c r="G968" s="467" t="s">
        <v>28</v>
      </c>
      <c r="H968" s="467" t="e">
        <v>#N/A</v>
      </c>
    </row>
    <row r="969" spans="1:8" hidden="1">
      <c r="A969" s="469" t="s">
        <v>3217</v>
      </c>
      <c r="B969" s="561"/>
      <c r="C969" s="469" t="s">
        <v>3218</v>
      </c>
      <c r="D969" s="471" t="s">
        <v>281</v>
      </c>
      <c r="E969" s="466" t="str">
        <f t="shared" si="15"/>
        <v>DK</v>
      </c>
      <c r="F969" s="467">
        <v>2000</v>
      </c>
      <c r="G969" s="467" t="s">
        <v>28</v>
      </c>
      <c r="H969" s="467" t="s">
        <v>281</v>
      </c>
    </row>
    <row r="970" spans="1:8" hidden="1">
      <c r="A970" s="469" t="s">
        <v>3219</v>
      </c>
      <c r="B970" s="561"/>
      <c r="C970" s="469" t="s">
        <v>3220</v>
      </c>
      <c r="D970" s="471" t="s">
        <v>281</v>
      </c>
      <c r="E970" s="466" t="str">
        <f t="shared" si="15"/>
        <v>DK</v>
      </c>
      <c r="F970" s="467">
        <v>2000</v>
      </c>
      <c r="G970" s="467" t="s">
        <v>28</v>
      </c>
      <c r="H970" s="467" t="s">
        <v>281</v>
      </c>
    </row>
    <row r="971" spans="1:8" hidden="1">
      <c r="A971" s="469" t="s">
        <v>3221</v>
      </c>
      <c r="B971" s="561"/>
      <c r="C971" s="469" t="s">
        <v>3222</v>
      </c>
      <c r="D971" s="471" t="s">
        <v>281</v>
      </c>
      <c r="E971" s="466" t="str">
        <f t="shared" si="15"/>
        <v>DK</v>
      </c>
      <c r="F971" s="467">
        <v>2000</v>
      </c>
      <c r="G971" s="467" t="s">
        <v>28</v>
      </c>
      <c r="H971" s="467" t="s">
        <v>281</v>
      </c>
    </row>
    <row r="972" spans="1:8" s="478" customFormat="1" hidden="1">
      <c r="A972" s="469" t="s">
        <v>3223</v>
      </c>
      <c r="B972" s="561" t="s">
        <v>3224</v>
      </c>
      <c r="C972" s="469" t="s">
        <v>3225</v>
      </c>
      <c r="D972" s="471" t="s">
        <v>281</v>
      </c>
      <c r="E972" s="466" t="str">
        <f t="shared" si="15"/>
        <v>DK</v>
      </c>
      <c r="F972" s="467">
        <v>2000</v>
      </c>
      <c r="G972" s="467" t="s">
        <v>28</v>
      </c>
      <c r="H972" s="467" t="s">
        <v>281</v>
      </c>
    </row>
    <row r="973" spans="1:8" s="478" customFormat="1" hidden="1">
      <c r="A973" s="469" t="s">
        <v>3226</v>
      </c>
      <c r="B973" s="561" t="s">
        <v>3224</v>
      </c>
      <c r="C973" s="469" t="s">
        <v>3227</v>
      </c>
      <c r="D973" s="471" t="s">
        <v>281</v>
      </c>
      <c r="E973" s="466" t="str">
        <f>LEFT(A973,2)</f>
        <v>DK</v>
      </c>
      <c r="F973" s="467">
        <v>2000</v>
      </c>
      <c r="G973" s="467" t="s">
        <v>28</v>
      </c>
      <c r="H973" s="467" t="s">
        <v>281</v>
      </c>
    </row>
    <row r="974" spans="1:8" s="478" customFormat="1" hidden="1">
      <c r="A974" s="469" t="s">
        <v>3228</v>
      </c>
      <c r="B974" s="561"/>
      <c r="C974" s="469" t="s">
        <v>3229</v>
      </c>
      <c r="D974" s="471" t="s">
        <v>281</v>
      </c>
      <c r="E974" s="466" t="str">
        <f t="shared" si="15"/>
        <v>DK</v>
      </c>
      <c r="F974" s="467">
        <v>2000</v>
      </c>
      <c r="G974" s="467" t="s">
        <v>28</v>
      </c>
      <c r="H974" s="467">
        <v>0</v>
      </c>
    </row>
    <row r="975" spans="1:8" hidden="1">
      <c r="A975" s="469" t="s">
        <v>1347</v>
      </c>
      <c r="B975" s="561" t="s">
        <v>3224</v>
      </c>
      <c r="C975" s="469" t="s">
        <v>3230</v>
      </c>
      <c r="D975" s="471" t="s">
        <v>281</v>
      </c>
      <c r="E975" s="466" t="str">
        <f t="shared" si="15"/>
        <v>DK</v>
      </c>
      <c r="F975" s="467">
        <v>2000</v>
      </c>
      <c r="G975" s="467" t="s">
        <v>28</v>
      </c>
      <c r="H975" s="467">
        <v>0</v>
      </c>
    </row>
    <row r="976" spans="1:8" hidden="1">
      <c r="A976" s="463" t="s">
        <v>3231</v>
      </c>
      <c r="B976" s="562" t="s">
        <v>3232</v>
      </c>
      <c r="C976" s="463" t="s">
        <v>3233</v>
      </c>
      <c r="D976" s="465" t="s">
        <v>775</v>
      </c>
      <c r="E976" s="466" t="str">
        <f t="shared" si="15"/>
        <v>BA</v>
      </c>
      <c r="F976" s="467">
        <v>50</v>
      </c>
      <c r="G976" s="467" t="s">
        <v>28</v>
      </c>
      <c r="H976" s="467" t="s">
        <v>775</v>
      </c>
    </row>
    <row r="977" spans="1:8" hidden="1">
      <c r="A977" s="463" t="s">
        <v>3234</v>
      </c>
      <c r="B977" s="464"/>
      <c r="C977" s="514" t="s">
        <v>3235</v>
      </c>
      <c r="D977" s="465" t="s">
        <v>288</v>
      </c>
      <c r="E977" s="466" t="str">
        <f t="shared" si="15"/>
        <v>GT</v>
      </c>
      <c r="F977" s="467">
        <v>50</v>
      </c>
      <c r="G977" s="467" t="s">
        <v>28</v>
      </c>
      <c r="H977" s="467" t="s">
        <v>288</v>
      </c>
    </row>
    <row r="978" spans="1:8" hidden="1">
      <c r="A978" s="463" t="s">
        <v>3236</v>
      </c>
      <c r="B978" s="464"/>
      <c r="C978" s="514" t="s">
        <v>3237</v>
      </c>
      <c r="D978" s="465" t="s">
        <v>288</v>
      </c>
      <c r="E978" s="466" t="str">
        <f t="shared" ref="E978:E1041" si="16">LEFT(A978,2)</f>
        <v>GT</v>
      </c>
      <c r="F978" s="467">
        <v>50</v>
      </c>
      <c r="G978" s="467" t="s">
        <v>28</v>
      </c>
      <c r="H978" s="467" t="s">
        <v>288</v>
      </c>
    </row>
    <row r="979" spans="1:8" hidden="1">
      <c r="A979" s="463" t="s">
        <v>3238</v>
      </c>
      <c r="B979" s="563" t="s">
        <v>3239</v>
      </c>
      <c r="C979" s="514" t="s">
        <v>3240</v>
      </c>
      <c r="D979" s="465" t="s">
        <v>281</v>
      </c>
      <c r="E979" s="466" t="str">
        <f t="shared" si="16"/>
        <v>SX</v>
      </c>
      <c r="F979" s="467">
        <v>50</v>
      </c>
      <c r="G979" s="467" t="s">
        <v>28</v>
      </c>
      <c r="H979" s="467" t="e">
        <v>#N/A</v>
      </c>
    </row>
    <row r="980" spans="1:8" hidden="1">
      <c r="A980" s="463" t="s">
        <v>3241</v>
      </c>
      <c r="B980" s="464"/>
      <c r="C980" s="514" t="s">
        <v>3242</v>
      </c>
      <c r="D980" s="465" t="s">
        <v>775</v>
      </c>
      <c r="E980" s="466" t="str">
        <f t="shared" si="16"/>
        <v>GS</v>
      </c>
      <c r="F980" s="467">
        <v>50</v>
      </c>
      <c r="G980" s="467" t="s">
        <v>28</v>
      </c>
      <c r="H980" s="467" t="e">
        <v>#N/A</v>
      </c>
    </row>
    <row r="981" spans="1:8" hidden="1">
      <c r="A981" s="463" t="s">
        <v>3243</v>
      </c>
      <c r="B981" s="464"/>
      <c r="C981" s="514" t="s">
        <v>3244</v>
      </c>
      <c r="D981" s="465" t="s">
        <v>775</v>
      </c>
      <c r="E981" s="466" t="str">
        <f t="shared" si="16"/>
        <v>GC</v>
      </c>
      <c r="F981" s="467">
        <v>50</v>
      </c>
      <c r="G981" s="467" t="s">
        <v>28</v>
      </c>
      <c r="H981" s="467" t="s">
        <v>775</v>
      </c>
    </row>
    <row r="982" spans="1:8" hidden="1">
      <c r="A982" s="463" t="s">
        <v>3245</v>
      </c>
      <c r="B982" s="562" t="s">
        <v>3246</v>
      </c>
      <c r="C982" s="514" t="s">
        <v>3247</v>
      </c>
      <c r="D982" s="465" t="s">
        <v>775</v>
      </c>
      <c r="E982" s="466" t="str">
        <f t="shared" si="16"/>
        <v>SD</v>
      </c>
      <c r="F982" s="467">
        <v>50</v>
      </c>
      <c r="G982" s="467" t="s">
        <v>28</v>
      </c>
      <c r="H982" s="467" t="e">
        <v>#N/A</v>
      </c>
    </row>
    <row r="983" spans="1:8" hidden="1">
      <c r="A983" s="463" t="s">
        <v>3248</v>
      </c>
      <c r="B983" s="464" t="s">
        <v>3249</v>
      </c>
      <c r="C983" s="514" t="s">
        <v>3250</v>
      </c>
      <c r="D983" s="465" t="s">
        <v>2081</v>
      </c>
      <c r="E983" s="466" t="str">
        <f t="shared" si="16"/>
        <v>TC</v>
      </c>
      <c r="F983" s="467">
        <v>50</v>
      </c>
      <c r="G983" s="467" t="s">
        <v>28</v>
      </c>
      <c r="H983" s="467" t="e">
        <v>#N/A</v>
      </c>
    </row>
    <row r="984" spans="1:8" hidden="1">
      <c r="A984" s="463" t="s">
        <v>3251</v>
      </c>
      <c r="B984" s="464" t="s">
        <v>3249</v>
      </c>
      <c r="C984" s="514" t="s">
        <v>3252</v>
      </c>
      <c r="D984" s="465" t="s">
        <v>2081</v>
      </c>
      <c r="E984" s="466" t="str">
        <f t="shared" si="16"/>
        <v>TC</v>
      </c>
      <c r="F984" s="467">
        <v>50</v>
      </c>
      <c r="G984" s="467" t="s">
        <v>28</v>
      </c>
      <c r="H984" s="467" t="e">
        <v>#N/A</v>
      </c>
    </row>
    <row r="985" spans="1:8" hidden="1">
      <c r="A985" s="463" t="s">
        <v>3253</v>
      </c>
      <c r="B985" s="464" t="s">
        <v>2620</v>
      </c>
      <c r="C985" s="514" t="s">
        <v>3254</v>
      </c>
      <c r="D985" s="465" t="s">
        <v>2081</v>
      </c>
      <c r="E985" s="466" t="str">
        <f t="shared" si="16"/>
        <v>TC</v>
      </c>
      <c r="F985" s="467">
        <v>50</v>
      </c>
      <c r="G985" s="467" t="s">
        <v>28</v>
      </c>
      <c r="H985" s="467" t="e">
        <v>#N/A</v>
      </c>
    </row>
    <row r="986" spans="1:8" s="478" customFormat="1" hidden="1">
      <c r="A986" s="489" t="s">
        <v>3255</v>
      </c>
      <c r="B986" s="490"/>
      <c r="C986" s="564" t="s">
        <v>3256</v>
      </c>
      <c r="D986" s="491" t="s">
        <v>775</v>
      </c>
      <c r="E986" s="466" t="str">
        <f t="shared" si="16"/>
        <v>Gi</v>
      </c>
      <c r="F986" s="467">
        <v>50</v>
      </c>
      <c r="G986" s="467" t="s">
        <v>28</v>
      </c>
      <c r="H986" s="467" t="s">
        <v>775</v>
      </c>
    </row>
    <row r="987" spans="1:8" s="478" customFormat="1" hidden="1">
      <c r="A987" s="489" t="s">
        <v>3257</v>
      </c>
      <c r="B987" s="490"/>
      <c r="C987" s="564" t="s">
        <v>3256</v>
      </c>
      <c r="D987" s="491" t="s">
        <v>775</v>
      </c>
      <c r="E987" s="466" t="str">
        <f t="shared" si="16"/>
        <v>Gi</v>
      </c>
      <c r="F987" s="467">
        <v>50</v>
      </c>
      <c r="G987" s="467" t="s">
        <v>28</v>
      </c>
      <c r="H987" s="467" t="e">
        <v>#N/A</v>
      </c>
    </row>
    <row r="988" spans="1:8" s="478" customFormat="1" hidden="1">
      <c r="A988" s="489" t="s">
        <v>3258</v>
      </c>
      <c r="B988" s="490"/>
      <c r="C988" s="564" t="s">
        <v>3256</v>
      </c>
      <c r="D988" s="491" t="s">
        <v>775</v>
      </c>
      <c r="E988" s="466" t="str">
        <f t="shared" si="16"/>
        <v>Gi</v>
      </c>
      <c r="F988" s="467">
        <v>50</v>
      </c>
      <c r="G988" s="467" t="s">
        <v>28</v>
      </c>
      <c r="H988" s="467" t="e">
        <v>#N/A</v>
      </c>
    </row>
    <row r="989" spans="1:8" s="478" customFormat="1" hidden="1">
      <c r="A989" s="489" t="s">
        <v>3259</v>
      </c>
      <c r="B989" s="490"/>
      <c r="C989" s="564" t="s">
        <v>3256</v>
      </c>
      <c r="D989" s="491" t="s">
        <v>775</v>
      </c>
      <c r="E989" s="466" t="str">
        <f t="shared" si="16"/>
        <v>Gi</v>
      </c>
      <c r="F989" s="467">
        <v>50</v>
      </c>
      <c r="G989" s="467" t="s">
        <v>28</v>
      </c>
      <c r="H989" s="467" t="e">
        <v>#N/A</v>
      </c>
    </row>
    <row r="990" spans="1:8" s="478" customFormat="1" hidden="1">
      <c r="A990" s="489" t="s">
        <v>3260</v>
      </c>
      <c r="B990" s="490"/>
      <c r="C990" s="564" t="s">
        <v>3261</v>
      </c>
      <c r="D990" s="491" t="s">
        <v>775</v>
      </c>
      <c r="E990" s="466" t="str">
        <f t="shared" si="16"/>
        <v>Gi</v>
      </c>
      <c r="F990" s="467">
        <v>50</v>
      </c>
      <c r="G990" s="467" t="s">
        <v>28</v>
      </c>
      <c r="H990" s="467" t="s">
        <v>775</v>
      </c>
    </row>
    <row r="991" spans="1:8" s="478" customFormat="1" hidden="1">
      <c r="A991" s="489" t="s">
        <v>3262</v>
      </c>
      <c r="B991" s="490"/>
      <c r="C991" s="564" t="s">
        <v>3263</v>
      </c>
      <c r="D991" s="491" t="s">
        <v>775</v>
      </c>
      <c r="E991" s="466" t="str">
        <f t="shared" si="16"/>
        <v>Gi</v>
      </c>
      <c r="F991" s="467">
        <v>50</v>
      </c>
      <c r="G991" s="467" t="s">
        <v>28</v>
      </c>
      <c r="H991" s="467" t="e">
        <v>#N/A</v>
      </c>
    </row>
    <row r="992" spans="1:8" s="478" customFormat="1" hidden="1">
      <c r="A992" s="489" t="s">
        <v>3264</v>
      </c>
      <c r="B992" s="565"/>
      <c r="C992" s="564" t="s">
        <v>3263</v>
      </c>
      <c r="D992" s="491" t="s">
        <v>775</v>
      </c>
      <c r="E992" s="466" t="str">
        <f t="shared" si="16"/>
        <v>Gi</v>
      </c>
      <c r="F992" s="467">
        <v>50</v>
      </c>
      <c r="G992" s="467" t="s">
        <v>28</v>
      </c>
      <c r="H992" s="467" t="e">
        <v>#N/A</v>
      </c>
    </row>
    <row r="993" spans="1:8" s="478" customFormat="1" hidden="1">
      <c r="A993" s="489" t="s">
        <v>3265</v>
      </c>
      <c r="B993" s="565"/>
      <c r="C993" s="564" t="s">
        <v>3263</v>
      </c>
      <c r="D993" s="491" t="s">
        <v>775</v>
      </c>
      <c r="E993" s="466" t="str">
        <f t="shared" si="16"/>
        <v>Gi</v>
      </c>
      <c r="F993" s="467">
        <v>50</v>
      </c>
      <c r="G993" s="467" t="s">
        <v>28</v>
      </c>
      <c r="H993" s="467" t="s">
        <v>775</v>
      </c>
    </row>
    <row r="994" spans="1:8" s="478" customFormat="1" hidden="1">
      <c r="A994" s="489" t="s">
        <v>3266</v>
      </c>
      <c r="B994" s="565"/>
      <c r="C994" s="564" t="s">
        <v>3263</v>
      </c>
      <c r="D994" s="491" t="s">
        <v>775</v>
      </c>
      <c r="E994" s="466" t="str">
        <f t="shared" si="16"/>
        <v>Gi</v>
      </c>
      <c r="F994" s="467">
        <v>50</v>
      </c>
      <c r="G994" s="467" t="s">
        <v>28</v>
      </c>
      <c r="H994" s="467" t="e">
        <v>#N/A</v>
      </c>
    </row>
    <row r="995" spans="1:8" s="478" customFormat="1" hidden="1">
      <c r="A995" s="489" t="s">
        <v>3267</v>
      </c>
      <c r="B995" s="565"/>
      <c r="C995" s="564" t="s">
        <v>3263</v>
      </c>
      <c r="D995" s="491" t="s">
        <v>1504</v>
      </c>
      <c r="E995" s="466" t="str">
        <f t="shared" si="16"/>
        <v>Gi</v>
      </c>
      <c r="F995" s="467">
        <v>50</v>
      </c>
      <c r="G995" s="467" t="s">
        <v>28</v>
      </c>
      <c r="H995" s="467" t="e">
        <v>#N/A</v>
      </c>
    </row>
    <row r="996" spans="1:8" s="478" customFormat="1" hidden="1">
      <c r="A996" s="489" t="s">
        <v>3268</v>
      </c>
      <c r="B996" s="565"/>
      <c r="C996" s="564" t="s">
        <v>3263</v>
      </c>
      <c r="D996" s="491" t="s">
        <v>775</v>
      </c>
      <c r="E996" s="466" t="str">
        <f t="shared" si="16"/>
        <v>Gi</v>
      </c>
      <c r="F996" s="467">
        <v>50</v>
      </c>
      <c r="G996" s="467" t="s">
        <v>28</v>
      </c>
      <c r="H996" s="467" t="e">
        <v>#N/A</v>
      </c>
    </row>
    <row r="997" spans="1:8" hidden="1">
      <c r="A997" s="469" t="s">
        <v>3269</v>
      </c>
      <c r="B997" s="470" t="s">
        <v>1720</v>
      </c>
      <c r="C997" s="566" t="s">
        <v>3270</v>
      </c>
      <c r="D997" s="471" t="s">
        <v>3271</v>
      </c>
      <c r="E997" s="466" t="str">
        <f t="shared" si="16"/>
        <v>GT</v>
      </c>
      <c r="F997" s="467">
        <v>50</v>
      </c>
      <c r="G997" s="467" t="s">
        <v>28</v>
      </c>
      <c r="H997" s="467" t="s">
        <v>3271</v>
      </c>
    </row>
    <row r="998" spans="1:8" hidden="1">
      <c r="A998" s="469" t="s">
        <v>3272</v>
      </c>
      <c r="B998" s="470" t="s">
        <v>1720</v>
      </c>
      <c r="C998" s="566" t="s">
        <v>3273</v>
      </c>
      <c r="D998" s="471" t="s">
        <v>281</v>
      </c>
      <c r="E998" s="466" t="str">
        <f t="shared" si="16"/>
        <v>GT</v>
      </c>
      <c r="F998" s="467">
        <v>50</v>
      </c>
      <c r="G998" s="467" t="s">
        <v>28</v>
      </c>
      <c r="H998" s="467" t="s">
        <v>281</v>
      </c>
    </row>
    <row r="999" spans="1:8" hidden="1">
      <c r="A999" s="469" t="s">
        <v>3274</v>
      </c>
      <c r="B999" s="470" t="s">
        <v>1720</v>
      </c>
      <c r="C999" s="566" t="s">
        <v>3275</v>
      </c>
      <c r="D999" s="471" t="s">
        <v>281</v>
      </c>
      <c r="E999" s="466" t="str">
        <f t="shared" si="16"/>
        <v>GT</v>
      </c>
      <c r="F999" s="467">
        <v>50</v>
      </c>
      <c r="G999" s="467" t="s">
        <v>28</v>
      </c>
      <c r="H999" s="467" t="s">
        <v>281</v>
      </c>
    </row>
    <row r="1000" spans="1:8" hidden="1">
      <c r="A1000" s="469" t="s">
        <v>3276</v>
      </c>
      <c r="B1000" s="470" t="s">
        <v>1720</v>
      </c>
      <c r="C1000" s="566" t="s">
        <v>3277</v>
      </c>
      <c r="D1000" s="471" t="s">
        <v>281</v>
      </c>
      <c r="E1000" s="466" t="str">
        <f t="shared" si="16"/>
        <v>GT</v>
      </c>
      <c r="F1000" s="467">
        <v>50</v>
      </c>
      <c r="G1000" s="467" t="s">
        <v>28</v>
      </c>
      <c r="H1000" s="467" t="s">
        <v>281</v>
      </c>
    </row>
    <row r="1001" spans="1:8" hidden="1">
      <c r="A1001" s="473" t="s">
        <v>3278</v>
      </c>
      <c r="B1001" s="477" t="s">
        <v>3279</v>
      </c>
      <c r="C1001" s="473" t="s">
        <v>3280</v>
      </c>
      <c r="D1001" s="475" t="s">
        <v>281</v>
      </c>
      <c r="E1001" s="466" t="str">
        <f t="shared" si="16"/>
        <v>CO</v>
      </c>
      <c r="F1001" s="467">
        <v>50</v>
      </c>
      <c r="G1001" s="467" t="s">
        <v>28</v>
      </c>
      <c r="H1001" s="467">
        <v>0</v>
      </c>
    </row>
    <row r="1002" spans="1:8" hidden="1">
      <c r="A1002" s="473" t="s">
        <v>3281</v>
      </c>
      <c r="B1002" s="477" t="s">
        <v>3279</v>
      </c>
      <c r="C1002" s="473" t="s">
        <v>3282</v>
      </c>
      <c r="D1002" s="475" t="s">
        <v>281</v>
      </c>
      <c r="E1002" s="466" t="str">
        <f t="shared" si="16"/>
        <v>CO</v>
      </c>
      <c r="F1002" s="467">
        <v>50</v>
      </c>
      <c r="G1002" s="467" t="s">
        <v>28</v>
      </c>
      <c r="H1002" s="467" t="e">
        <v>#N/A</v>
      </c>
    </row>
    <row r="1003" spans="1:8" hidden="1">
      <c r="A1003" s="473" t="s">
        <v>3283</v>
      </c>
      <c r="B1003" s="477" t="s">
        <v>3284</v>
      </c>
      <c r="C1003" s="473" t="s">
        <v>3285</v>
      </c>
      <c r="D1003" s="475" t="s">
        <v>281</v>
      </c>
      <c r="E1003" s="466" t="str">
        <f t="shared" si="16"/>
        <v>CO</v>
      </c>
      <c r="F1003" s="467">
        <v>50</v>
      </c>
      <c r="G1003" s="467" t="s">
        <v>28</v>
      </c>
      <c r="H1003" s="467">
        <v>0</v>
      </c>
    </row>
    <row r="1004" spans="1:8" hidden="1">
      <c r="A1004" s="473" t="s">
        <v>3286</v>
      </c>
      <c r="B1004" s="477" t="s">
        <v>3287</v>
      </c>
      <c r="C1004" s="473" t="s">
        <v>3288</v>
      </c>
      <c r="D1004" s="475" t="s">
        <v>281</v>
      </c>
      <c r="E1004" s="466" t="str">
        <f t="shared" si="16"/>
        <v>CO</v>
      </c>
      <c r="F1004" s="467">
        <v>50</v>
      </c>
      <c r="G1004" s="467" t="s">
        <v>28</v>
      </c>
      <c r="H1004" s="467">
        <v>0</v>
      </c>
    </row>
    <row r="1005" spans="1:8" hidden="1">
      <c r="A1005" s="473" t="s">
        <v>3289</v>
      </c>
      <c r="B1005" s="477" t="s">
        <v>3290</v>
      </c>
      <c r="C1005" s="473" t="s">
        <v>3291</v>
      </c>
      <c r="D1005" s="475" t="s">
        <v>281</v>
      </c>
      <c r="E1005" s="466" t="str">
        <f t="shared" si="16"/>
        <v>CO</v>
      </c>
      <c r="F1005" s="467">
        <v>50</v>
      </c>
      <c r="G1005" s="467" t="s">
        <v>28</v>
      </c>
      <c r="H1005" s="467">
        <v>0</v>
      </c>
    </row>
    <row r="1006" spans="1:8" hidden="1">
      <c r="A1006" s="473" t="s">
        <v>3292</v>
      </c>
      <c r="B1006" s="477" t="s">
        <v>3293</v>
      </c>
      <c r="C1006" s="473" t="s">
        <v>3294</v>
      </c>
      <c r="D1006" s="475" t="s">
        <v>281</v>
      </c>
      <c r="E1006" s="466" t="str">
        <f t="shared" si="16"/>
        <v>CO</v>
      </c>
      <c r="F1006" s="467">
        <v>50</v>
      </c>
      <c r="G1006" s="467" t="s">
        <v>28</v>
      </c>
      <c r="H1006" s="467">
        <v>0</v>
      </c>
    </row>
    <row r="1007" spans="1:8" hidden="1">
      <c r="A1007" s="473" t="s">
        <v>3295</v>
      </c>
      <c r="B1007" s="477" t="s">
        <v>3296</v>
      </c>
      <c r="C1007" s="473" t="s">
        <v>3297</v>
      </c>
      <c r="D1007" s="475" t="s">
        <v>281</v>
      </c>
      <c r="E1007" s="466" t="str">
        <f t="shared" si="16"/>
        <v>CO</v>
      </c>
      <c r="F1007" s="467">
        <v>50</v>
      </c>
      <c r="G1007" s="467" t="s">
        <v>28</v>
      </c>
      <c r="H1007" s="467">
        <v>0</v>
      </c>
    </row>
    <row r="1008" spans="1:8" hidden="1">
      <c r="A1008" s="473" t="s">
        <v>3298</v>
      </c>
      <c r="B1008" s="477" t="s">
        <v>3299</v>
      </c>
      <c r="C1008" s="473" t="s">
        <v>3300</v>
      </c>
      <c r="D1008" s="475" t="s">
        <v>281</v>
      </c>
      <c r="E1008" s="466" t="str">
        <f t="shared" si="16"/>
        <v>CO</v>
      </c>
      <c r="F1008" s="467">
        <v>50</v>
      </c>
      <c r="G1008" s="467" t="s">
        <v>28</v>
      </c>
      <c r="H1008" s="467">
        <v>0</v>
      </c>
    </row>
    <row r="1009" spans="1:8" hidden="1">
      <c r="A1009" s="473" t="s">
        <v>3301</v>
      </c>
      <c r="B1009" s="477" t="s">
        <v>3302</v>
      </c>
      <c r="C1009" s="473" t="s">
        <v>3303</v>
      </c>
      <c r="D1009" s="475" t="s">
        <v>281</v>
      </c>
      <c r="E1009" s="466" t="str">
        <f t="shared" si="16"/>
        <v>CO</v>
      </c>
      <c r="F1009" s="467">
        <v>50</v>
      </c>
      <c r="G1009" s="467" t="s">
        <v>28</v>
      </c>
      <c r="H1009" s="467" t="e">
        <v>#N/A</v>
      </c>
    </row>
    <row r="1010" spans="1:8" hidden="1">
      <c r="A1010" s="473" t="s">
        <v>3304</v>
      </c>
      <c r="B1010" s="477" t="s">
        <v>3302</v>
      </c>
      <c r="C1010" s="473" t="s">
        <v>3305</v>
      </c>
      <c r="D1010" s="475" t="s">
        <v>281</v>
      </c>
      <c r="E1010" s="466" t="str">
        <f t="shared" si="16"/>
        <v>CO</v>
      </c>
      <c r="F1010" s="467">
        <v>50</v>
      </c>
      <c r="G1010" s="467" t="s">
        <v>28</v>
      </c>
      <c r="H1010" s="467">
        <v>0</v>
      </c>
    </row>
    <row r="1011" spans="1:8" hidden="1">
      <c r="A1011" s="473" t="s">
        <v>3306</v>
      </c>
      <c r="B1011" s="477" t="s">
        <v>3302</v>
      </c>
      <c r="C1011" s="473" t="s">
        <v>3307</v>
      </c>
      <c r="D1011" s="475" t="s">
        <v>281</v>
      </c>
      <c r="E1011" s="466" t="str">
        <f t="shared" si="16"/>
        <v>CO</v>
      </c>
      <c r="F1011" s="467">
        <v>50</v>
      </c>
      <c r="G1011" s="467" t="s">
        <v>28</v>
      </c>
      <c r="H1011" s="467" t="e">
        <v>#N/A</v>
      </c>
    </row>
    <row r="1012" spans="1:8" hidden="1">
      <c r="A1012" s="473" t="s">
        <v>3308</v>
      </c>
      <c r="B1012" s="477" t="s">
        <v>3302</v>
      </c>
      <c r="C1012" s="473" t="s">
        <v>3309</v>
      </c>
      <c r="D1012" s="475" t="s">
        <v>281</v>
      </c>
      <c r="E1012" s="466" t="str">
        <f t="shared" si="16"/>
        <v>CO</v>
      </c>
      <c r="F1012" s="467">
        <v>50</v>
      </c>
      <c r="G1012" s="467" t="s">
        <v>28</v>
      </c>
      <c r="H1012" s="467" t="e">
        <v>#N/A</v>
      </c>
    </row>
    <row r="1013" spans="1:8" hidden="1">
      <c r="A1013" s="473" t="s">
        <v>3310</v>
      </c>
      <c r="B1013" s="477" t="s">
        <v>3302</v>
      </c>
      <c r="C1013" s="473" t="s">
        <v>3311</v>
      </c>
      <c r="D1013" s="475" t="s">
        <v>281</v>
      </c>
      <c r="E1013" s="466" t="str">
        <f t="shared" si="16"/>
        <v>CO</v>
      </c>
      <c r="F1013" s="467">
        <v>50</v>
      </c>
      <c r="G1013" s="467" t="s">
        <v>28</v>
      </c>
      <c r="H1013" s="467" t="e">
        <v>#N/A</v>
      </c>
    </row>
    <row r="1014" spans="1:8" s="478" customFormat="1" hidden="1">
      <c r="A1014" s="469" t="s">
        <v>1268</v>
      </c>
      <c r="B1014" s="485" t="s">
        <v>3279</v>
      </c>
      <c r="C1014" s="567" t="s">
        <v>3312</v>
      </c>
      <c r="D1014" s="471" t="s">
        <v>281</v>
      </c>
      <c r="E1014" s="466" t="str">
        <f t="shared" si="16"/>
        <v>CO</v>
      </c>
      <c r="F1014" s="467">
        <v>50</v>
      </c>
      <c r="G1014" s="467" t="s">
        <v>28</v>
      </c>
      <c r="H1014" s="467">
        <v>0</v>
      </c>
    </row>
    <row r="1015" spans="1:8" s="478" customFormat="1" hidden="1">
      <c r="A1015" s="469" t="s">
        <v>3313</v>
      </c>
      <c r="B1015" s="485" t="s">
        <v>3279</v>
      </c>
      <c r="C1015" s="469" t="s">
        <v>3314</v>
      </c>
      <c r="D1015" s="471" t="s">
        <v>281</v>
      </c>
      <c r="E1015" s="466" t="str">
        <f t="shared" si="16"/>
        <v>CO</v>
      </c>
      <c r="F1015" s="467">
        <v>50</v>
      </c>
      <c r="G1015" s="467" t="s">
        <v>28</v>
      </c>
      <c r="H1015" s="467" t="e">
        <v>#N/A</v>
      </c>
    </row>
    <row r="1016" spans="1:8" s="478" customFormat="1" hidden="1">
      <c r="A1016" s="469" t="s">
        <v>3315</v>
      </c>
      <c r="B1016" s="485" t="s">
        <v>3279</v>
      </c>
      <c r="C1016" s="469" t="s">
        <v>3316</v>
      </c>
      <c r="D1016" s="471" t="s">
        <v>281</v>
      </c>
      <c r="E1016" s="466" t="str">
        <f t="shared" si="16"/>
        <v>CO</v>
      </c>
      <c r="F1016" s="467">
        <v>50</v>
      </c>
      <c r="G1016" s="467" t="s">
        <v>28</v>
      </c>
      <c r="H1016" s="467" t="e">
        <v>#N/A</v>
      </c>
    </row>
    <row r="1017" spans="1:8" s="478" customFormat="1" hidden="1">
      <c r="A1017" s="469" t="s">
        <v>3317</v>
      </c>
      <c r="B1017" s="485" t="s">
        <v>3279</v>
      </c>
      <c r="C1017" s="469" t="s">
        <v>3318</v>
      </c>
      <c r="D1017" s="471" t="s">
        <v>281</v>
      </c>
      <c r="E1017" s="466" t="str">
        <f t="shared" si="16"/>
        <v>CO</v>
      </c>
      <c r="F1017" s="467">
        <v>50</v>
      </c>
      <c r="G1017" s="467" t="s">
        <v>28</v>
      </c>
      <c r="H1017" s="467" t="e">
        <v>#N/A</v>
      </c>
    </row>
    <row r="1018" spans="1:8" s="478" customFormat="1">
      <c r="A1018" s="469" t="s">
        <v>3319</v>
      </c>
      <c r="B1018" s="485" t="s">
        <v>3279</v>
      </c>
      <c r="C1018" s="469" t="s">
        <v>3320</v>
      </c>
      <c r="D1018" s="471" t="s">
        <v>281</v>
      </c>
      <c r="E1018" s="466" t="str">
        <f t="shared" si="16"/>
        <v>CO</v>
      </c>
      <c r="F1018" s="467">
        <v>50</v>
      </c>
      <c r="G1018" s="467" t="s">
        <v>28</v>
      </c>
      <c r="H1018" s="467" t="e">
        <v>#N/A</v>
      </c>
    </row>
    <row r="1019" spans="1:8" s="478" customFormat="1" hidden="1">
      <c r="A1019" s="469" t="s">
        <v>639</v>
      </c>
      <c r="B1019" s="485" t="s">
        <v>3279</v>
      </c>
      <c r="C1019" s="469" t="s">
        <v>3321</v>
      </c>
      <c r="D1019" s="471" t="s">
        <v>281</v>
      </c>
      <c r="E1019" s="466" t="str">
        <f t="shared" si="16"/>
        <v>CO</v>
      </c>
      <c r="F1019" s="467">
        <v>50</v>
      </c>
      <c r="G1019" s="467" t="s">
        <v>28</v>
      </c>
      <c r="H1019" s="467">
        <v>2</v>
      </c>
    </row>
    <row r="1020" spans="1:8" s="478" customFormat="1" hidden="1">
      <c r="A1020" s="469" t="s">
        <v>3322</v>
      </c>
      <c r="B1020" s="485" t="s">
        <v>3284</v>
      </c>
      <c r="C1020" s="469" t="s">
        <v>3323</v>
      </c>
      <c r="D1020" s="471" t="s">
        <v>281</v>
      </c>
      <c r="E1020" s="466" t="str">
        <f t="shared" si="16"/>
        <v>CO</v>
      </c>
      <c r="F1020" s="467">
        <v>50</v>
      </c>
      <c r="G1020" s="467" t="s">
        <v>28</v>
      </c>
      <c r="H1020" s="467" t="s">
        <v>281</v>
      </c>
    </row>
    <row r="1021" spans="1:8" s="478" customFormat="1" hidden="1">
      <c r="A1021" s="469" t="s">
        <v>3324</v>
      </c>
      <c r="B1021" s="485" t="s">
        <v>3284</v>
      </c>
      <c r="C1021" s="469" t="s">
        <v>3325</v>
      </c>
      <c r="D1021" s="471" t="s">
        <v>281</v>
      </c>
      <c r="E1021" s="466" t="str">
        <f t="shared" si="16"/>
        <v>CO</v>
      </c>
      <c r="F1021" s="467">
        <v>50</v>
      </c>
      <c r="G1021" s="467" t="s">
        <v>28</v>
      </c>
      <c r="H1021" s="467" t="e">
        <v>#N/A</v>
      </c>
    </row>
    <row r="1022" spans="1:8" s="478" customFormat="1" hidden="1">
      <c r="A1022" s="469" t="s">
        <v>3326</v>
      </c>
      <c r="B1022" s="485" t="s">
        <v>3284</v>
      </c>
      <c r="C1022" s="469" t="s">
        <v>3327</v>
      </c>
      <c r="D1022" s="471" t="s">
        <v>281</v>
      </c>
      <c r="E1022" s="466" t="str">
        <f t="shared" si="16"/>
        <v>CO</v>
      </c>
      <c r="F1022" s="467">
        <v>50</v>
      </c>
      <c r="G1022" s="467" t="s">
        <v>28</v>
      </c>
      <c r="H1022" s="467" t="s">
        <v>281</v>
      </c>
    </row>
    <row r="1023" spans="1:8" s="478" customFormat="1" hidden="1">
      <c r="A1023" s="469" t="s">
        <v>1185</v>
      </c>
      <c r="B1023" s="485" t="s">
        <v>3287</v>
      </c>
      <c r="C1023" s="469" t="s">
        <v>3328</v>
      </c>
      <c r="D1023" s="471" t="s">
        <v>281</v>
      </c>
      <c r="E1023" s="466" t="str">
        <f t="shared" si="16"/>
        <v>CO</v>
      </c>
      <c r="F1023" s="467">
        <v>50</v>
      </c>
      <c r="G1023" s="467" t="s">
        <v>28</v>
      </c>
      <c r="H1023" s="467">
        <v>0</v>
      </c>
    </row>
    <row r="1024" spans="1:8" s="478" customFormat="1" hidden="1">
      <c r="A1024" s="469" t="s">
        <v>3329</v>
      </c>
      <c r="B1024" s="485" t="s">
        <v>3290</v>
      </c>
      <c r="C1024" s="469" t="s">
        <v>3330</v>
      </c>
      <c r="D1024" s="471" t="s">
        <v>281</v>
      </c>
      <c r="E1024" s="466" t="str">
        <f t="shared" si="16"/>
        <v>CO</v>
      </c>
      <c r="F1024" s="467">
        <v>50</v>
      </c>
      <c r="G1024" s="467" t="s">
        <v>28</v>
      </c>
      <c r="H1024" s="467">
        <v>0</v>
      </c>
    </row>
    <row r="1025" spans="1:8" s="478" customFormat="1" hidden="1">
      <c r="A1025" s="469" t="s">
        <v>3331</v>
      </c>
      <c r="B1025" s="485" t="s">
        <v>3293</v>
      </c>
      <c r="C1025" s="469" t="s">
        <v>3332</v>
      </c>
      <c r="D1025" s="471" t="s">
        <v>281</v>
      </c>
      <c r="E1025" s="466" t="str">
        <f t="shared" si="16"/>
        <v>CO</v>
      </c>
      <c r="F1025" s="467">
        <v>50</v>
      </c>
      <c r="G1025" s="467" t="s">
        <v>28</v>
      </c>
      <c r="H1025" s="467">
        <v>0</v>
      </c>
    </row>
    <row r="1026" spans="1:8" s="478" customFormat="1" hidden="1">
      <c r="A1026" s="469" t="s">
        <v>3333</v>
      </c>
      <c r="B1026" s="485" t="s">
        <v>3296</v>
      </c>
      <c r="C1026" s="469" t="s">
        <v>3334</v>
      </c>
      <c r="D1026" s="471" t="s">
        <v>281</v>
      </c>
      <c r="E1026" s="466" t="str">
        <f t="shared" si="16"/>
        <v>CO</v>
      </c>
      <c r="F1026" s="467">
        <v>50</v>
      </c>
      <c r="G1026" s="467" t="s">
        <v>28</v>
      </c>
      <c r="H1026" s="467">
        <v>0</v>
      </c>
    </row>
    <row r="1027" spans="1:8" s="478" customFormat="1" hidden="1">
      <c r="A1027" s="469" t="s">
        <v>3335</v>
      </c>
      <c r="B1027" s="485" t="s">
        <v>3299</v>
      </c>
      <c r="C1027" s="469" t="s">
        <v>3336</v>
      </c>
      <c r="D1027" s="471" t="s">
        <v>281</v>
      </c>
      <c r="E1027" s="466" t="str">
        <f t="shared" si="16"/>
        <v>CO</v>
      </c>
      <c r="F1027" s="467">
        <v>50</v>
      </c>
      <c r="G1027" s="467" t="s">
        <v>28</v>
      </c>
      <c r="H1027" s="467" t="s">
        <v>281</v>
      </c>
    </row>
    <row r="1028" spans="1:8" s="478" customFormat="1" hidden="1">
      <c r="A1028" s="469" t="s">
        <v>3337</v>
      </c>
      <c r="B1028" s="485" t="s">
        <v>3302</v>
      </c>
      <c r="C1028" s="469" t="s">
        <v>3338</v>
      </c>
      <c r="D1028" s="471" t="s">
        <v>281</v>
      </c>
      <c r="E1028" s="466" t="str">
        <f t="shared" si="16"/>
        <v>CO</v>
      </c>
      <c r="F1028" s="467">
        <v>50</v>
      </c>
      <c r="G1028" s="467" t="s">
        <v>28</v>
      </c>
      <c r="H1028" s="467" t="s">
        <v>281</v>
      </c>
    </row>
    <row r="1029" spans="1:8" s="478" customFormat="1" hidden="1">
      <c r="A1029" s="469" t="s">
        <v>3339</v>
      </c>
      <c r="B1029" s="485" t="s">
        <v>3302</v>
      </c>
      <c r="C1029" s="469" t="s">
        <v>3340</v>
      </c>
      <c r="D1029" s="471" t="s">
        <v>281</v>
      </c>
      <c r="E1029" s="466" t="str">
        <f t="shared" si="16"/>
        <v>CO</v>
      </c>
      <c r="F1029" s="467">
        <v>50</v>
      </c>
      <c r="G1029" s="467" t="s">
        <v>28</v>
      </c>
      <c r="H1029" s="467" t="e">
        <v>#N/A</v>
      </c>
    </row>
    <row r="1030" spans="1:8" s="478" customFormat="1" hidden="1">
      <c r="A1030" s="469" t="s">
        <v>3341</v>
      </c>
      <c r="B1030" s="485" t="s">
        <v>3342</v>
      </c>
      <c r="C1030" s="469" t="s">
        <v>3343</v>
      </c>
      <c r="D1030" s="471" t="s">
        <v>281</v>
      </c>
      <c r="E1030" s="466" t="str">
        <f t="shared" si="16"/>
        <v>CO</v>
      </c>
      <c r="F1030" s="467">
        <v>50</v>
      </c>
      <c r="G1030" s="467" t="s">
        <v>28</v>
      </c>
      <c r="H1030" s="467" t="s">
        <v>281</v>
      </c>
    </row>
    <row r="1031" spans="1:8" s="478" customFormat="1" hidden="1">
      <c r="A1031" s="469" t="s">
        <v>3344</v>
      </c>
      <c r="B1031" s="485" t="s">
        <v>3342</v>
      </c>
      <c r="C1031" s="469" t="s">
        <v>3345</v>
      </c>
      <c r="D1031" s="471" t="s">
        <v>281</v>
      </c>
      <c r="E1031" s="466" t="str">
        <f t="shared" si="16"/>
        <v>CO</v>
      </c>
      <c r="F1031" s="467">
        <v>50</v>
      </c>
      <c r="G1031" s="467" t="s">
        <v>28</v>
      </c>
      <c r="H1031" s="467" t="s">
        <v>281</v>
      </c>
    </row>
    <row r="1032" spans="1:8" s="478" customFormat="1" hidden="1">
      <c r="A1032" s="494" t="s">
        <v>3346</v>
      </c>
      <c r="B1032" s="493"/>
      <c r="C1032" s="568" t="s">
        <v>3347</v>
      </c>
      <c r="D1032" s="495" t="s">
        <v>281</v>
      </c>
      <c r="E1032" s="466" t="str">
        <f t="shared" si="16"/>
        <v>CH</v>
      </c>
      <c r="F1032" s="467">
        <v>50</v>
      </c>
      <c r="G1032" s="467" t="s">
        <v>28</v>
      </c>
      <c r="H1032" s="467" t="e">
        <v>#N/A</v>
      </c>
    </row>
    <row r="1033" spans="1:8" s="478" customFormat="1" hidden="1">
      <c r="A1033" s="494" t="s">
        <v>3348</v>
      </c>
      <c r="B1033" s="493"/>
      <c r="C1033" s="568" t="s">
        <v>3349</v>
      </c>
      <c r="D1033" s="495" t="s">
        <v>281</v>
      </c>
      <c r="E1033" s="466" t="str">
        <f t="shared" si="16"/>
        <v>CH</v>
      </c>
      <c r="F1033" s="467">
        <v>50</v>
      </c>
      <c r="G1033" s="467" t="s">
        <v>28</v>
      </c>
      <c r="H1033" s="467" t="e">
        <v>#N/A</v>
      </c>
    </row>
    <row r="1034" spans="1:8" s="478" customFormat="1" hidden="1">
      <c r="A1034" s="494" t="s">
        <v>3350</v>
      </c>
      <c r="B1034" s="493"/>
      <c r="C1034" s="568" t="s">
        <v>3351</v>
      </c>
      <c r="D1034" s="495" t="s">
        <v>281</v>
      </c>
      <c r="E1034" s="466" t="str">
        <f t="shared" si="16"/>
        <v>CH</v>
      </c>
      <c r="F1034" s="467">
        <v>50</v>
      </c>
      <c r="G1034" s="467" t="s">
        <v>28</v>
      </c>
      <c r="H1034" s="467" t="s">
        <v>281</v>
      </c>
    </row>
    <row r="1035" spans="1:8" s="478" customFormat="1" hidden="1">
      <c r="A1035" s="494" t="s">
        <v>3352</v>
      </c>
      <c r="B1035" s="493"/>
      <c r="C1035" s="568" t="s">
        <v>3353</v>
      </c>
      <c r="D1035" s="495" t="s">
        <v>281</v>
      </c>
      <c r="E1035" s="466" t="str">
        <f t="shared" si="16"/>
        <v>CH</v>
      </c>
      <c r="F1035" s="467">
        <v>50</v>
      </c>
      <c r="G1035" s="467" t="s">
        <v>28</v>
      </c>
      <c r="H1035" s="467" t="s">
        <v>281</v>
      </c>
    </row>
    <row r="1036" spans="1:8" s="478" customFormat="1" hidden="1">
      <c r="A1036" s="494" t="s">
        <v>3354</v>
      </c>
      <c r="B1036" s="493"/>
      <c r="C1036" s="568" t="s">
        <v>3355</v>
      </c>
      <c r="D1036" s="495" t="s">
        <v>281</v>
      </c>
      <c r="E1036" s="466" t="str">
        <f t="shared" si="16"/>
        <v>CH</v>
      </c>
      <c r="F1036" s="467">
        <v>50</v>
      </c>
      <c r="G1036" s="467" t="s">
        <v>28</v>
      </c>
      <c r="H1036" s="467" t="s">
        <v>281</v>
      </c>
    </row>
    <row r="1037" spans="1:8" s="478" customFormat="1" hidden="1">
      <c r="A1037" s="494" t="s">
        <v>3356</v>
      </c>
      <c r="B1037" s="493"/>
      <c r="C1037" s="568" t="s">
        <v>3357</v>
      </c>
      <c r="D1037" s="495" t="s">
        <v>281</v>
      </c>
      <c r="E1037" s="466" t="str">
        <f t="shared" si="16"/>
        <v>CH</v>
      </c>
      <c r="F1037" s="467">
        <v>50</v>
      </c>
      <c r="G1037" s="467" t="s">
        <v>28</v>
      </c>
      <c r="H1037" s="467" t="s">
        <v>281</v>
      </c>
    </row>
    <row r="1038" spans="1:8" s="478" customFormat="1" hidden="1">
      <c r="A1038" s="494" t="s">
        <v>3358</v>
      </c>
      <c r="B1038" s="493"/>
      <c r="C1038" s="568" t="s">
        <v>3359</v>
      </c>
      <c r="D1038" s="495" t="s">
        <v>281</v>
      </c>
      <c r="E1038" s="466" t="str">
        <f t="shared" si="16"/>
        <v>CH</v>
      </c>
      <c r="F1038" s="467">
        <v>50</v>
      </c>
      <c r="G1038" s="467" t="s">
        <v>28</v>
      </c>
      <c r="H1038" s="467" t="s">
        <v>281</v>
      </c>
    </row>
    <row r="1039" spans="1:8" s="478" customFormat="1" hidden="1">
      <c r="A1039" s="494" t="s">
        <v>3360</v>
      </c>
      <c r="B1039" s="493"/>
      <c r="C1039" s="568" t="s">
        <v>3361</v>
      </c>
      <c r="D1039" s="495" t="s">
        <v>281</v>
      </c>
      <c r="E1039" s="466" t="str">
        <f t="shared" si="16"/>
        <v>CH</v>
      </c>
      <c r="F1039" s="467">
        <v>50</v>
      </c>
      <c r="G1039" s="467" t="s">
        <v>28</v>
      </c>
      <c r="H1039" s="467" t="s">
        <v>281</v>
      </c>
    </row>
    <row r="1040" spans="1:8" s="478" customFormat="1" hidden="1">
      <c r="A1040" s="494" t="s">
        <v>3362</v>
      </c>
      <c r="B1040" s="493"/>
      <c r="C1040" s="568" t="s">
        <v>3363</v>
      </c>
      <c r="D1040" s="495" t="s">
        <v>281</v>
      </c>
      <c r="E1040" s="466" t="str">
        <f t="shared" si="16"/>
        <v>CH</v>
      </c>
      <c r="F1040" s="467">
        <v>50</v>
      </c>
      <c r="G1040" s="467" t="s">
        <v>28</v>
      </c>
      <c r="H1040" s="467" t="s">
        <v>281</v>
      </c>
    </row>
    <row r="1041" spans="1:8" s="478" customFormat="1" hidden="1">
      <c r="A1041" s="494" t="s">
        <v>3364</v>
      </c>
      <c r="B1041" s="493"/>
      <c r="C1041" s="568" t="s">
        <v>3365</v>
      </c>
      <c r="D1041" s="495" t="s">
        <v>281</v>
      </c>
      <c r="E1041" s="466" t="str">
        <f t="shared" si="16"/>
        <v>CH</v>
      </c>
      <c r="F1041" s="467">
        <v>50</v>
      </c>
      <c r="G1041" s="467" t="s">
        <v>28</v>
      </c>
      <c r="H1041" s="467" t="s">
        <v>281</v>
      </c>
    </row>
    <row r="1042" spans="1:8" s="478" customFormat="1" hidden="1">
      <c r="A1042" s="494" t="s">
        <v>3366</v>
      </c>
      <c r="B1042" s="493"/>
      <c r="C1042" s="568" t="s">
        <v>3367</v>
      </c>
      <c r="D1042" s="495" t="s">
        <v>281</v>
      </c>
      <c r="E1042" s="466" t="str">
        <f t="shared" ref="E1042:E1107" si="17">LEFT(A1042,2)</f>
        <v>CH</v>
      </c>
      <c r="F1042" s="467">
        <v>50</v>
      </c>
      <c r="G1042" s="467" t="s">
        <v>28</v>
      </c>
      <c r="H1042" s="467" t="s">
        <v>281</v>
      </c>
    </row>
    <row r="1043" spans="1:8" s="478" customFormat="1" hidden="1">
      <c r="A1043" s="494" t="s">
        <v>3368</v>
      </c>
      <c r="B1043" s="493"/>
      <c r="C1043" s="568" t="s">
        <v>3369</v>
      </c>
      <c r="D1043" s="495" t="s">
        <v>281</v>
      </c>
      <c r="E1043" s="466" t="str">
        <f t="shared" si="17"/>
        <v>CH</v>
      </c>
      <c r="F1043" s="467">
        <v>50</v>
      </c>
      <c r="G1043" s="467" t="s">
        <v>28</v>
      </c>
      <c r="H1043" s="467" t="e">
        <v>#N/A</v>
      </c>
    </row>
    <row r="1044" spans="1:8" s="478" customFormat="1" hidden="1">
      <c r="A1044" s="494" t="s">
        <v>3370</v>
      </c>
      <c r="B1044" s="493"/>
      <c r="C1044" s="568" t="s">
        <v>3371</v>
      </c>
      <c r="D1044" s="495" t="s">
        <v>281</v>
      </c>
      <c r="E1044" s="466" t="str">
        <f t="shared" si="17"/>
        <v>CH</v>
      </c>
      <c r="F1044" s="467">
        <v>50</v>
      </c>
      <c r="G1044" s="467" t="s">
        <v>28</v>
      </c>
      <c r="H1044" s="467" t="s">
        <v>281</v>
      </c>
    </row>
    <row r="1045" spans="1:8" s="478" customFormat="1" hidden="1">
      <c r="A1045" s="494" t="s">
        <v>3372</v>
      </c>
      <c r="B1045" s="493"/>
      <c r="C1045" s="568" t="s">
        <v>3373</v>
      </c>
      <c r="D1045" s="495" t="s">
        <v>281</v>
      </c>
      <c r="E1045" s="466" t="str">
        <f t="shared" si="17"/>
        <v>CH</v>
      </c>
      <c r="F1045" s="467">
        <v>50</v>
      </c>
      <c r="G1045" s="467" t="s">
        <v>28</v>
      </c>
      <c r="H1045" s="467" t="s">
        <v>281</v>
      </c>
    </row>
    <row r="1046" spans="1:8" s="478" customFormat="1" hidden="1">
      <c r="A1046" s="494" t="s">
        <v>3374</v>
      </c>
      <c r="B1046" s="493"/>
      <c r="C1046" s="568" t="s">
        <v>3375</v>
      </c>
      <c r="D1046" s="495" t="s">
        <v>775</v>
      </c>
      <c r="E1046" s="466" t="str">
        <f t="shared" si="17"/>
        <v>CH</v>
      </c>
      <c r="F1046" s="467">
        <v>50</v>
      </c>
      <c r="G1046" s="467" t="s">
        <v>28</v>
      </c>
      <c r="H1046" s="467">
        <v>0</v>
      </c>
    </row>
    <row r="1047" spans="1:8" s="478" customFormat="1" hidden="1">
      <c r="A1047" s="494" t="s">
        <v>3376</v>
      </c>
      <c r="B1047" s="493"/>
      <c r="C1047" s="568" t="s">
        <v>3377</v>
      </c>
      <c r="D1047" s="495" t="s">
        <v>281</v>
      </c>
      <c r="E1047" s="466" t="str">
        <f t="shared" si="17"/>
        <v>CH</v>
      </c>
      <c r="F1047" s="467">
        <v>50</v>
      </c>
      <c r="G1047" s="467" t="s">
        <v>28</v>
      </c>
      <c r="H1047" s="467" t="s">
        <v>281</v>
      </c>
    </row>
    <row r="1048" spans="1:8" s="478" customFormat="1" hidden="1">
      <c r="A1048" s="494" t="s">
        <v>3378</v>
      </c>
      <c r="B1048" s="493"/>
      <c r="C1048" s="568" t="s">
        <v>3379</v>
      </c>
      <c r="D1048" s="495" t="s">
        <v>281</v>
      </c>
      <c r="E1048" s="466" t="str">
        <f>LEFT(A1048,2)</f>
        <v>CH</v>
      </c>
      <c r="F1048" s="467">
        <v>50</v>
      </c>
      <c r="G1048" s="467" t="s">
        <v>28</v>
      </c>
      <c r="H1048" s="467" t="s">
        <v>281</v>
      </c>
    </row>
    <row r="1049" spans="1:8" s="478" customFormat="1" hidden="1">
      <c r="A1049" s="494" t="s">
        <v>1115</v>
      </c>
      <c r="B1049" s="493"/>
      <c r="C1049" s="568" t="s">
        <v>3380</v>
      </c>
      <c r="D1049" s="495" t="s">
        <v>775</v>
      </c>
      <c r="E1049" s="466" t="str">
        <f t="shared" si="17"/>
        <v>CH</v>
      </c>
      <c r="F1049" s="467">
        <v>50</v>
      </c>
      <c r="G1049" s="467" t="s">
        <v>28</v>
      </c>
      <c r="H1049" s="467">
        <v>0</v>
      </c>
    </row>
    <row r="1050" spans="1:8" hidden="1">
      <c r="A1050" s="463" t="s">
        <v>3381</v>
      </c>
      <c r="B1050" s="562"/>
      <c r="C1050" s="514" t="s">
        <v>3382</v>
      </c>
      <c r="D1050" s="465" t="s">
        <v>2081</v>
      </c>
      <c r="E1050" s="466" t="str">
        <f t="shared" si="17"/>
        <v>DK</v>
      </c>
      <c r="F1050" s="467">
        <v>50</v>
      </c>
      <c r="G1050" s="467" t="s">
        <v>28</v>
      </c>
      <c r="H1050" s="467" t="e">
        <v>#N/A</v>
      </c>
    </row>
    <row r="1051" spans="1:8" hidden="1">
      <c r="A1051" s="463" t="s">
        <v>3383</v>
      </c>
      <c r="B1051" s="562"/>
      <c r="C1051" s="514" t="s">
        <v>3384</v>
      </c>
      <c r="D1051" s="465" t="s">
        <v>2081</v>
      </c>
      <c r="E1051" s="466" t="str">
        <f t="shared" si="17"/>
        <v>DV</v>
      </c>
      <c r="F1051" s="467">
        <v>50</v>
      </c>
      <c r="G1051" s="467" t="s">
        <v>28</v>
      </c>
      <c r="H1051" s="467" t="e">
        <v>#N/A</v>
      </c>
    </row>
    <row r="1052" spans="1:8" hidden="1">
      <c r="A1052" s="463" t="s">
        <v>1245</v>
      </c>
      <c r="B1052" s="562"/>
      <c r="C1052" s="514" t="s">
        <v>3385</v>
      </c>
      <c r="D1052" s="465" t="s">
        <v>2081</v>
      </c>
      <c r="E1052" s="466" t="str">
        <f t="shared" si="17"/>
        <v>Du</v>
      </c>
      <c r="F1052" s="467">
        <v>50</v>
      </c>
      <c r="G1052" s="467" t="s">
        <v>28</v>
      </c>
      <c r="H1052" s="467">
        <v>0</v>
      </c>
    </row>
    <row r="1053" spans="1:8" hidden="1">
      <c r="A1053" s="463" t="s">
        <v>3386</v>
      </c>
      <c r="B1053" s="562"/>
      <c r="C1053" s="514" t="s">
        <v>3387</v>
      </c>
      <c r="D1053" s="465" t="s">
        <v>2081</v>
      </c>
      <c r="E1053" s="466" t="str">
        <f t="shared" si="17"/>
        <v>Du</v>
      </c>
      <c r="F1053" s="467">
        <v>50</v>
      </c>
      <c r="G1053" s="467" t="s">
        <v>28</v>
      </c>
      <c r="H1053" s="467" t="e">
        <v>#N/A</v>
      </c>
    </row>
    <row r="1054" spans="1:8" hidden="1">
      <c r="A1054" s="463" t="s">
        <v>3388</v>
      </c>
      <c r="B1054" s="562"/>
      <c r="C1054" s="514" t="s">
        <v>3389</v>
      </c>
      <c r="D1054" s="465" t="s">
        <v>2081</v>
      </c>
      <c r="E1054" s="466" t="str">
        <f t="shared" si="17"/>
        <v>Du</v>
      </c>
      <c r="F1054" s="467">
        <v>50</v>
      </c>
      <c r="G1054" s="467" t="s">
        <v>28</v>
      </c>
      <c r="H1054" s="467" t="e">
        <v>#N/A</v>
      </c>
    </row>
    <row r="1055" spans="1:8" hidden="1">
      <c r="A1055" s="463" t="s">
        <v>1252</v>
      </c>
      <c r="B1055" s="562"/>
      <c r="C1055" s="514" t="s">
        <v>3390</v>
      </c>
      <c r="D1055" s="465" t="s">
        <v>2081</v>
      </c>
      <c r="E1055" s="466" t="str">
        <f t="shared" si="17"/>
        <v>Du</v>
      </c>
      <c r="F1055" s="467">
        <v>50</v>
      </c>
      <c r="G1055" s="467" t="s">
        <v>28</v>
      </c>
      <c r="H1055" s="467">
        <v>0</v>
      </c>
    </row>
    <row r="1056" spans="1:8" hidden="1">
      <c r="A1056" s="463" t="s">
        <v>1253</v>
      </c>
      <c r="B1056" s="562"/>
      <c r="C1056" s="514" t="s">
        <v>3391</v>
      </c>
      <c r="D1056" s="465" t="s">
        <v>2081</v>
      </c>
      <c r="E1056" s="466" t="str">
        <f t="shared" si="17"/>
        <v>Du</v>
      </c>
      <c r="F1056" s="467">
        <v>50</v>
      </c>
      <c r="G1056" s="467" t="s">
        <v>28</v>
      </c>
      <c r="H1056" s="467">
        <v>0</v>
      </c>
    </row>
    <row r="1057" spans="1:8" hidden="1">
      <c r="A1057" s="463" t="s">
        <v>1254</v>
      </c>
      <c r="B1057" s="562"/>
      <c r="C1057" s="514" t="s">
        <v>3392</v>
      </c>
      <c r="D1057" s="465" t="s">
        <v>2081</v>
      </c>
      <c r="E1057" s="466" t="str">
        <f t="shared" si="17"/>
        <v>Du</v>
      </c>
      <c r="F1057" s="467">
        <v>50</v>
      </c>
      <c r="G1057" s="467" t="s">
        <v>28</v>
      </c>
      <c r="H1057" s="467">
        <v>0</v>
      </c>
    </row>
    <row r="1058" spans="1:8">
      <c r="A1058" s="463" t="s">
        <v>3393</v>
      </c>
      <c r="B1058" s="465" t="s">
        <v>3394</v>
      </c>
      <c r="C1058" s="514" t="s">
        <v>3395</v>
      </c>
      <c r="D1058" s="465" t="s">
        <v>775</v>
      </c>
      <c r="E1058" s="466" t="str">
        <f t="shared" si="17"/>
        <v>DE</v>
      </c>
      <c r="F1058" s="467">
        <v>50</v>
      </c>
      <c r="G1058" s="467" t="s">
        <v>28</v>
      </c>
      <c r="H1058" s="467" t="e">
        <v>#N/A</v>
      </c>
    </row>
    <row r="1059" spans="1:8" s="478" customFormat="1" hidden="1">
      <c r="A1059" s="473" t="s">
        <v>1327</v>
      </c>
      <c r="B1059" s="569"/>
      <c r="C1059" s="511" t="s">
        <v>3396</v>
      </c>
      <c r="D1059" s="475" t="s">
        <v>411</v>
      </c>
      <c r="E1059" s="466" t="str">
        <f t="shared" si="17"/>
        <v>D1</v>
      </c>
      <c r="F1059" s="467">
        <v>50</v>
      </c>
      <c r="G1059" s="467" t="s">
        <v>28</v>
      </c>
      <c r="H1059" s="467">
        <v>0</v>
      </c>
    </row>
    <row r="1060" spans="1:8" hidden="1">
      <c r="A1060" s="473" t="s">
        <v>3397</v>
      </c>
      <c r="B1060" s="570"/>
      <c r="C1060" s="511" t="s">
        <v>3398</v>
      </c>
      <c r="D1060" s="475" t="s">
        <v>411</v>
      </c>
      <c r="E1060" s="466" t="str">
        <f t="shared" si="17"/>
        <v>D2</v>
      </c>
      <c r="F1060" s="467">
        <v>50</v>
      </c>
      <c r="G1060" s="467" t="s">
        <v>28</v>
      </c>
      <c r="H1060" s="467" t="e">
        <v>#N/A</v>
      </c>
    </row>
    <row r="1061" spans="1:8" hidden="1">
      <c r="A1061" s="473" t="s">
        <v>3399</v>
      </c>
      <c r="B1061" s="569"/>
      <c r="C1061" s="511" t="s">
        <v>3400</v>
      </c>
      <c r="D1061" s="475" t="s">
        <v>411</v>
      </c>
      <c r="E1061" s="466" t="str">
        <f t="shared" si="17"/>
        <v>D3</v>
      </c>
      <c r="F1061" s="467">
        <v>50</v>
      </c>
      <c r="G1061" s="467" t="s">
        <v>28</v>
      </c>
      <c r="H1061" s="467" t="e">
        <v>#N/A</v>
      </c>
    </row>
    <row r="1062" spans="1:8" hidden="1">
      <c r="A1062" s="463" t="s">
        <v>3401</v>
      </c>
      <c r="B1062" s="562"/>
      <c r="C1062" s="514" t="s">
        <v>3402</v>
      </c>
      <c r="D1062" s="465" t="s">
        <v>3403</v>
      </c>
      <c r="E1062" s="466" t="str">
        <f t="shared" si="17"/>
        <v>DR</v>
      </c>
      <c r="F1062" s="467">
        <v>50</v>
      </c>
      <c r="G1062" s="467" t="s">
        <v>28</v>
      </c>
      <c r="H1062" s="467" t="s">
        <v>3403</v>
      </c>
    </row>
    <row r="1063" spans="1:8" hidden="1">
      <c r="A1063" s="489" t="s">
        <v>3404</v>
      </c>
      <c r="B1063" s="490" t="s">
        <v>3131</v>
      </c>
      <c r="C1063" s="564" t="s">
        <v>3405</v>
      </c>
      <c r="D1063" s="491" t="s">
        <v>281</v>
      </c>
      <c r="E1063" s="466" t="str">
        <f t="shared" si="17"/>
        <v>CD</v>
      </c>
      <c r="F1063" s="467">
        <v>50</v>
      </c>
      <c r="G1063" s="467" t="s">
        <v>28</v>
      </c>
      <c r="H1063" s="467" t="e">
        <v>#N/A</v>
      </c>
    </row>
    <row r="1064" spans="1:8" hidden="1">
      <c r="A1064" s="489" t="s">
        <v>3406</v>
      </c>
      <c r="B1064" s="490" t="s">
        <v>3131</v>
      </c>
      <c r="C1064" s="564" t="s">
        <v>3407</v>
      </c>
      <c r="D1064" s="491" t="s">
        <v>281</v>
      </c>
      <c r="E1064" s="466" t="str">
        <f t="shared" si="17"/>
        <v>CD</v>
      </c>
      <c r="F1064" s="467">
        <v>50</v>
      </c>
      <c r="G1064" s="467" t="s">
        <v>28</v>
      </c>
      <c r="H1064" s="467" t="e">
        <v>#N/A</v>
      </c>
    </row>
    <row r="1065" spans="1:8" hidden="1">
      <c r="A1065" s="489" t="s">
        <v>3408</v>
      </c>
      <c r="B1065" s="490" t="s">
        <v>3131</v>
      </c>
      <c r="C1065" s="564" t="s">
        <v>3409</v>
      </c>
      <c r="D1065" s="491" t="s">
        <v>281</v>
      </c>
      <c r="E1065" s="466" t="str">
        <f t="shared" si="17"/>
        <v>CD</v>
      </c>
      <c r="F1065" s="467">
        <v>50</v>
      </c>
      <c r="G1065" s="467" t="s">
        <v>28</v>
      </c>
      <c r="H1065" s="467" t="e">
        <v>#N/A</v>
      </c>
    </row>
    <row r="1066" spans="1:8" hidden="1">
      <c r="A1066" s="489" t="s">
        <v>3410</v>
      </c>
      <c r="B1066" s="490" t="s">
        <v>3131</v>
      </c>
      <c r="C1066" s="564" t="s">
        <v>3411</v>
      </c>
      <c r="D1066" s="491" t="s">
        <v>281</v>
      </c>
      <c r="E1066" s="466" t="str">
        <f t="shared" si="17"/>
        <v>CD</v>
      </c>
      <c r="F1066" s="467">
        <v>50</v>
      </c>
      <c r="G1066" s="467" t="s">
        <v>28</v>
      </c>
      <c r="H1066" s="467" t="e">
        <v>#N/A</v>
      </c>
    </row>
    <row r="1067" spans="1:8" hidden="1">
      <c r="A1067" s="489" t="s">
        <v>3412</v>
      </c>
      <c r="B1067" s="490" t="s">
        <v>3131</v>
      </c>
      <c r="C1067" s="564" t="s">
        <v>3413</v>
      </c>
      <c r="D1067" s="491" t="s">
        <v>281</v>
      </c>
      <c r="E1067" s="466" t="str">
        <f t="shared" si="17"/>
        <v>CD</v>
      </c>
      <c r="F1067" s="467">
        <v>50</v>
      </c>
      <c r="G1067" s="467" t="s">
        <v>28</v>
      </c>
      <c r="H1067" s="467" t="e">
        <v>#N/A</v>
      </c>
    </row>
    <row r="1068" spans="1:8" hidden="1">
      <c r="A1068" s="489" t="s">
        <v>3414</v>
      </c>
      <c r="B1068" s="490" t="s">
        <v>3131</v>
      </c>
      <c r="C1068" s="564" t="s">
        <v>3415</v>
      </c>
      <c r="D1068" s="491" t="s">
        <v>281</v>
      </c>
      <c r="E1068" s="466" t="str">
        <f t="shared" si="17"/>
        <v>CD</v>
      </c>
      <c r="F1068" s="467">
        <v>50</v>
      </c>
      <c r="G1068" s="467" t="s">
        <v>28</v>
      </c>
      <c r="H1068" s="467" t="e">
        <v>#N/A</v>
      </c>
    </row>
    <row r="1069" spans="1:8" hidden="1">
      <c r="A1069" s="489" t="s">
        <v>3416</v>
      </c>
      <c r="B1069" s="490" t="s">
        <v>3131</v>
      </c>
      <c r="C1069" s="564" t="s">
        <v>3417</v>
      </c>
      <c r="D1069" s="491" t="s">
        <v>281</v>
      </c>
      <c r="E1069" s="466" t="str">
        <f t="shared" si="17"/>
        <v>CD</v>
      </c>
      <c r="F1069" s="467">
        <v>50</v>
      </c>
      <c r="G1069" s="467" t="s">
        <v>28</v>
      </c>
      <c r="H1069" s="467" t="e">
        <v>#N/A</v>
      </c>
    </row>
    <row r="1070" spans="1:8" hidden="1">
      <c r="A1070" s="489" t="s">
        <v>3418</v>
      </c>
      <c r="B1070" s="490" t="s">
        <v>3131</v>
      </c>
      <c r="C1070" s="564" t="s">
        <v>3419</v>
      </c>
      <c r="D1070" s="491" t="s">
        <v>281</v>
      </c>
      <c r="E1070" s="466" t="str">
        <f t="shared" si="17"/>
        <v>CD</v>
      </c>
      <c r="F1070" s="467">
        <v>50</v>
      </c>
      <c r="G1070" s="467" t="s">
        <v>28</v>
      </c>
      <c r="H1070" s="467" t="e">
        <v>#N/A</v>
      </c>
    </row>
    <row r="1071" spans="1:8" hidden="1">
      <c r="A1071" s="469" t="s">
        <v>3420</v>
      </c>
      <c r="B1071" s="561"/>
      <c r="C1071" s="566" t="s">
        <v>3421</v>
      </c>
      <c r="D1071" s="471" t="s">
        <v>2081</v>
      </c>
      <c r="E1071" s="466" t="str">
        <f t="shared" si="17"/>
        <v>PV</v>
      </c>
      <c r="F1071" s="467">
        <v>50</v>
      </c>
      <c r="G1071" s="467" t="s">
        <v>28</v>
      </c>
      <c r="H1071" s="467" t="e">
        <v>#N/A</v>
      </c>
    </row>
    <row r="1072" spans="1:8" hidden="1">
      <c r="A1072" s="469" t="s">
        <v>3422</v>
      </c>
      <c r="B1072" s="561"/>
      <c r="C1072" s="566" t="s">
        <v>3423</v>
      </c>
      <c r="D1072" s="471" t="s">
        <v>2081</v>
      </c>
      <c r="E1072" s="466" t="str">
        <f t="shared" si="17"/>
        <v>PV</v>
      </c>
      <c r="F1072" s="467">
        <v>50</v>
      </c>
      <c r="G1072" s="467" t="s">
        <v>28</v>
      </c>
      <c r="H1072" s="467" t="e">
        <v>#N/A</v>
      </c>
    </row>
    <row r="1073" spans="1:8" hidden="1">
      <c r="A1073" s="469" t="s">
        <v>3424</v>
      </c>
      <c r="B1073" s="561"/>
      <c r="C1073" s="566" t="s">
        <v>3425</v>
      </c>
      <c r="D1073" s="471" t="s">
        <v>2081</v>
      </c>
      <c r="E1073" s="466" t="str">
        <f t="shared" si="17"/>
        <v>PV</v>
      </c>
      <c r="F1073" s="467">
        <v>50</v>
      </c>
      <c r="G1073" s="467" t="s">
        <v>28</v>
      </c>
      <c r="H1073" s="467" t="s">
        <v>2081</v>
      </c>
    </row>
    <row r="1074" spans="1:8" hidden="1">
      <c r="A1074" s="469" t="s">
        <v>3426</v>
      </c>
      <c r="B1074" s="561"/>
      <c r="C1074" s="566" t="s">
        <v>3427</v>
      </c>
      <c r="D1074" s="471" t="s">
        <v>2081</v>
      </c>
      <c r="E1074" s="466" t="str">
        <f t="shared" si="17"/>
        <v>PV</v>
      </c>
      <c r="F1074" s="467">
        <v>50</v>
      </c>
      <c r="G1074" s="467" t="s">
        <v>28</v>
      </c>
      <c r="H1074" s="467">
        <v>0</v>
      </c>
    </row>
    <row r="1075" spans="1:8" hidden="1">
      <c r="A1075" s="469" t="s">
        <v>3428</v>
      </c>
      <c r="B1075" s="561" t="s">
        <v>3429</v>
      </c>
      <c r="C1075" s="566" t="s">
        <v>3430</v>
      </c>
      <c r="D1075" s="471" t="s">
        <v>2081</v>
      </c>
      <c r="E1075" s="466" t="str">
        <f t="shared" si="17"/>
        <v>PV</v>
      </c>
      <c r="F1075" s="467">
        <v>50</v>
      </c>
      <c r="G1075" s="467" t="s">
        <v>28</v>
      </c>
      <c r="H1075" s="467">
        <v>0</v>
      </c>
    </row>
    <row r="1076" spans="1:8" hidden="1">
      <c r="A1076" s="469" t="s">
        <v>1220</v>
      </c>
      <c r="B1076" s="561" t="s">
        <v>3431</v>
      </c>
      <c r="C1076" s="566" t="s">
        <v>3432</v>
      </c>
      <c r="D1076" s="471" t="s">
        <v>2081</v>
      </c>
      <c r="E1076" s="466" t="str">
        <f t="shared" si="17"/>
        <v>PV</v>
      </c>
      <c r="F1076" s="467">
        <v>50</v>
      </c>
      <c r="G1076" s="467" t="s">
        <v>28</v>
      </c>
      <c r="H1076" s="467">
        <v>0</v>
      </c>
    </row>
    <row r="1077" spans="1:8" hidden="1">
      <c r="A1077" s="469" t="s">
        <v>3433</v>
      </c>
      <c r="B1077" s="561" t="s">
        <v>3434</v>
      </c>
      <c r="C1077" s="566" t="s">
        <v>3435</v>
      </c>
      <c r="D1077" s="471" t="s">
        <v>2081</v>
      </c>
      <c r="E1077" s="466" t="str">
        <f t="shared" si="17"/>
        <v>PV</v>
      </c>
      <c r="F1077" s="467">
        <v>50</v>
      </c>
      <c r="G1077" s="467" t="s">
        <v>28</v>
      </c>
      <c r="H1077" s="467" t="e">
        <v>#N/A</v>
      </c>
    </row>
    <row r="1078" spans="1:8" hidden="1">
      <c r="A1078" s="469" t="s">
        <v>1279</v>
      </c>
      <c r="B1078" s="561" t="s">
        <v>3434</v>
      </c>
      <c r="C1078" s="566" t="s">
        <v>3436</v>
      </c>
      <c r="D1078" s="471" t="s">
        <v>2081</v>
      </c>
      <c r="E1078" s="466" t="str">
        <f t="shared" si="17"/>
        <v>PV</v>
      </c>
      <c r="F1078" s="467">
        <v>50</v>
      </c>
      <c r="G1078" s="467" t="s">
        <v>28</v>
      </c>
      <c r="H1078" s="467">
        <v>0</v>
      </c>
    </row>
    <row r="1079" spans="1:8" hidden="1">
      <c r="A1079" s="469" t="s">
        <v>641</v>
      </c>
      <c r="B1079" s="561" t="s">
        <v>3434</v>
      </c>
      <c r="C1079" s="566" t="s">
        <v>3437</v>
      </c>
      <c r="D1079" s="471" t="s">
        <v>2081</v>
      </c>
      <c r="E1079" s="466" t="str">
        <f t="shared" si="17"/>
        <v>PV</v>
      </c>
      <c r="F1079" s="467">
        <v>50</v>
      </c>
      <c r="G1079" s="467" t="s">
        <v>28</v>
      </c>
      <c r="H1079" s="467">
        <v>0</v>
      </c>
    </row>
    <row r="1080" spans="1:8" hidden="1">
      <c r="A1080" s="469" t="s">
        <v>3438</v>
      </c>
      <c r="B1080" s="561"/>
      <c r="C1080" s="566" t="s">
        <v>3439</v>
      </c>
      <c r="D1080" s="471" t="s">
        <v>411</v>
      </c>
      <c r="E1080" s="466" t="str">
        <f t="shared" si="17"/>
        <v>OD</v>
      </c>
      <c r="F1080" s="467">
        <v>50</v>
      </c>
      <c r="G1080" s="467" t="s">
        <v>28</v>
      </c>
      <c r="H1080" s="467" t="e">
        <v>#N/A</v>
      </c>
    </row>
    <row r="1081" spans="1:8" hidden="1">
      <c r="A1081" s="469" t="s">
        <v>3440</v>
      </c>
      <c r="B1081" s="561" t="s">
        <v>2752</v>
      </c>
      <c r="C1081" s="566" t="s">
        <v>3441</v>
      </c>
      <c r="D1081" s="471" t="s">
        <v>2081</v>
      </c>
      <c r="E1081" s="466" t="str">
        <f t="shared" si="17"/>
        <v>ON</v>
      </c>
      <c r="F1081" s="467">
        <v>50</v>
      </c>
      <c r="G1081" s="467" t="s">
        <v>28</v>
      </c>
      <c r="H1081" s="467" t="e">
        <v>#N/A</v>
      </c>
    </row>
    <row r="1082" spans="1:8" hidden="1">
      <c r="A1082" s="469" t="s">
        <v>3442</v>
      </c>
      <c r="B1082" s="561" t="s">
        <v>2752</v>
      </c>
      <c r="C1082" s="566" t="s">
        <v>3443</v>
      </c>
      <c r="D1082" s="471" t="s">
        <v>2081</v>
      </c>
      <c r="E1082" s="466" t="str">
        <f t="shared" si="17"/>
        <v>ON</v>
      </c>
      <c r="F1082" s="467">
        <v>50</v>
      </c>
      <c r="G1082" s="467" t="s">
        <v>28</v>
      </c>
      <c r="H1082" s="467" t="e">
        <v>#N/A</v>
      </c>
    </row>
    <row r="1083" spans="1:8" hidden="1">
      <c r="A1083" s="469" t="s">
        <v>3444</v>
      </c>
      <c r="B1083" s="561" t="s">
        <v>2752</v>
      </c>
      <c r="C1083" s="566" t="s">
        <v>3445</v>
      </c>
      <c r="D1083" s="471" t="s">
        <v>2081</v>
      </c>
      <c r="E1083" s="466" t="str">
        <f t="shared" si="17"/>
        <v>ON</v>
      </c>
      <c r="F1083" s="467">
        <v>50</v>
      </c>
      <c r="G1083" s="467" t="s">
        <v>28</v>
      </c>
      <c r="H1083" s="467" t="e">
        <v>#N/A</v>
      </c>
    </row>
    <row r="1084" spans="1:8" hidden="1">
      <c r="A1084" s="473" t="s">
        <v>3446</v>
      </c>
      <c r="B1084" s="477"/>
      <c r="C1084" s="511" t="s">
        <v>3447</v>
      </c>
      <c r="D1084" s="475" t="s">
        <v>281</v>
      </c>
      <c r="E1084" s="466" t="str">
        <f t="shared" si="17"/>
        <v>CU</v>
      </c>
      <c r="F1084" s="467">
        <v>50</v>
      </c>
      <c r="G1084" s="467" t="s">
        <v>28</v>
      </c>
      <c r="H1084" s="467" t="e">
        <v>#N/A</v>
      </c>
    </row>
    <row r="1085" spans="1:8" hidden="1">
      <c r="A1085" s="473" t="s">
        <v>3448</v>
      </c>
      <c r="B1085" s="477"/>
      <c r="C1085" s="511" t="s">
        <v>3449</v>
      </c>
      <c r="D1085" s="475" t="s">
        <v>281</v>
      </c>
      <c r="E1085" s="466" t="str">
        <f t="shared" si="17"/>
        <v>CU</v>
      </c>
      <c r="F1085" s="467">
        <v>50</v>
      </c>
      <c r="G1085" s="467" t="s">
        <v>28</v>
      </c>
      <c r="H1085" s="467" t="e">
        <v>#N/A</v>
      </c>
    </row>
    <row r="1086" spans="1:8" hidden="1">
      <c r="A1086" s="473" t="s">
        <v>1223</v>
      </c>
      <c r="B1086" s="477"/>
      <c r="C1086" s="511" t="s">
        <v>3450</v>
      </c>
      <c r="D1086" s="475" t="s">
        <v>281</v>
      </c>
      <c r="E1086" s="466" t="str">
        <f t="shared" si="17"/>
        <v>CU</v>
      </c>
      <c r="F1086" s="467">
        <v>50</v>
      </c>
      <c r="G1086" s="467" t="s">
        <v>28</v>
      </c>
      <c r="H1086" s="467">
        <v>0</v>
      </c>
    </row>
    <row r="1087" spans="1:8" hidden="1">
      <c r="A1087" s="473" t="s">
        <v>1329</v>
      </c>
      <c r="B1087" s="477"/>
      <c r="C1087" s="511" t="s">
        <v>3451</v>
      </c>
      <c r="D1087" s="475" t="s">
        <v>281</v>
      </c>
      <c r="E1087" s="466" t="str">
        <f t="shared" si="17"/>
        <v>CU</v>
      </c>
      <c r="F1087" s="467">
        <v>50</v>
      </c>
      <c r="G1087" s="467" t="s">
        <v>28</v>
      </c>
      <c r="H1087" s="467">
        <v>0</v>
      </c>
    </row>
    <row r="1088" spans="1:8" hidden="1">
      <c r="A1088" s="473" t="s">
        <v>1222</v>
      </c>
      <c r="B1088" s="477"/>
      <c r="C1088" s="511" t="s">
        <v>3452</v>
      </c>
      <c r="D1088" s="475" t="s">
        <v>281</v>
      </c>
      <c r="E1088" s="466" t="str">
        <f t="shared" si="17"/>
        <v>CU</v>
      </c>
      <c r="F1088" s="467">
        <v>50</v>
      </c>
      <c r="G1088" s="467" t="s">
        <v>28</v>
      </c>
      <c r="H1088" s="467">
        <v>0</v>
      </c>
    </row>
    <row r="1089" spans="1:8" hidden="1">
      <c r="A1089" s="473" t="s">
        <v>3453</v>
      </c>
      <c r="B1089" s="477"/>
      <c r="C1089" s="511" t="s">
        <v>3454</v>
      </c>
      <c r="D1089" s="475" t="s">
        <v>281</v>
      </c>
      <c r="E1089" s="466" t="str">
        <f t="shared" si="17"/>
        <v>CU</v>
      </c>
      <c r="F1089" s="467">
        <v>50</v>
      </c>
      <c r="G1089" s="467" t="s">
        <v>28</v>
      </c>
      <c r="H1089" s="467" t="e">
        <v>#N/A</v>
      </c>
    </row>
    <row r="1090" spans="1:8" hidden="1">
      <c r="A1090" s="473" t="s">
        <v>3455</v>
      </c>
      <c r="B1090" s="477"/>
      <c r="C1090" s="511" t="s">
        <v>3456</v>
      </c>
      <c r="D1090" s="475" t="s">
        <v>281</v>
      </c>
      <c r="E1090" s="466" t="str">
        <f t="shared" si="17"/>
        <v>CU</v>
      </c>
      <c r="F1090" s="467">
        <v>50</v>
      </c>
      <c r="G1090" s="467" t="s">
        <v>28</v>
      </c>
      <c r="H1090" s="467" t="s">
        <v>281</v>
      </c>
    </row>
    <row r="1091" spans="1:8" hidden="1">
      <c r="A1091" s="473" t="s">
        <v>3457</v>
      </c>
      <c r="B1091" s="477"/>
      <c r="C1091" s="511" t="s">
        <v>3458</v>
      </c>
      <c r="D1091" s="475" t="s">
        <v>281</v>
      </c>
      <c r="E1091" s="466" t="str">
        <f t="shared" si="17"/>
        <v>CU</v>
      </c>
      <c r="F1091" s="467">
        <v>50</v>
      </c>
      <c r="G1091" s="467" t="s">
        <v>28</v>
      </c>
      <c r="H1091" s="467" t="s">
        <v>281</v>
      </c>
    </row>
    <row r="1092" spans="1:8" hidden="1">
      <c r="A1092" s="473" t="s">
        <v>3459</v>
      </c>
      <c r="B1092" s="477"/>
      <c r="C1092" s="511" t="s">
        <v>3460</v>
      </c>
      <c r="D1092" s="475" t="s">
        <v>281</v>
      </c>
      <c r="E1092" s="466" t="str">
        <f t="shared" si="17"/>
        <v>CU</v>
      </c>
      <c r="F1092" s="467">
        <v>50</v>
      </c>
      <c r="G1092" s="467" t="s">
        <v>28</v>
      </c>
      <c r="H1092" s="467">
        <v>0</v>
      </c>
    </row>
    <row r="1093" spans="1:8" hidden="1">
      <c r="A1093" s="473" t="s">
        <v>3461</v>
      </c>
      <c r="B1093" s="477"/>
      <c r="C1093" s="511" t="s">
        <v>3462</v>
      </c>
      <c r="D1093" s="475" t="s">
        <v>281</v>
      </c>
      <c r="E1093" s="466" t="str">
        <f t="shared" si="17"/>
        <v>CU</v>
      </c>
      <c r="F1093" s="467">
        <v>50</v>
      </c>
      <c r="G1093" s="467" t="s">
        <v>28</v>
      </c>
      <c r="H1093" s="467">
        <v>0</v>
      </c>
    </row>
    <row r="1094" spans="1:8" hidden="1">
      <c r="A1094" s="473" t="s">
        <v>3463</v>
      </c>
      <c r="B1094" s="477"/>
      <c r="C1094" s="511" t="s">
        <v>3464</v>
      </c>
      <c r="D1094" s="475" t="s">
        <v>281</v>
      </c>
      <c r="E1094" s="466" t="str">
        <f t="shared" si="17"/>
        <v>CU</v>
      </c>
      <c r="F1094" s="467">
        <v>50</v>
      </c>
      <c r="G1094" s="467" t="s">
        <v>28</v>
      </c>
      <c r="H1094" s="467" t="s">
        <v>281</v>
      </c>
    </row>
    <row r="1095" spans="1:8" hidden="1">
      <c r="A1095" s="473" t="s">
        <v>3465</v>
      </c>
      <c r="B1095" s="477"/>
      <c r="C1095" s="511" t="s">
        <v>3466</v>
      </c>
      <c r="D1095" s="475" t="s">
        <v>281</v>
      </c>
      <c r="E1095" s="466" t="str">
        <f t="shared" si="17"/>
        <v>CU</v>
      </c>
      <c r="F1095" s="467">
        <v>50</v>
      </c>
      <c r="G1095" s="467" t="s">
        <v>28</v>
      </c>
      <c r="H1095" s="467" t="e">
        <v>#N/A</v>
      </c>
    </row>
    <row r="1096" spans="1:8" hidden="1">
      <c r="A1096" s="473" t="s">
        <v>3467</v>
      </c>
      <c r="B1096" s="477"/>
      <c r="C1096" s="511" t="s">
        <v>3468</v>
      </c>
      <c r="D1096" s="475" t="s">
        <v>281</v>
      </c>
      <c r="E1096" s="466" t="str">
        <f t="shared" si="17"/>
        <v>CU</v>
      </c>
      <c r="F1096" s="467">
        <v>50</v>
      </c>
      <c r="G1096" s="467" t="s">
        <v>28</v>
      </c>
      <c r="H1096" s="467" t="s">
        <v>281</v>
      </c>
    </row>
    <row r="1097" spans="1:8" hidden="1">
      <c r="A1097" s="473" t="s">
        <v>3469</v>
      </c>
      <c r="B1097" s="477"/>
      <c r="C1097" s="511" t="s">
        <v>3470</v>
      </c>
      <c r="D1097" s="475" t="s">
        <v>281</v>
      </c>
      <c r="E1097" s="466" t="str">
        <f t="shared" si="17"/>
        <v>CU</v>
      </c>
      <c r="F1097" s="467">
        <v>50</v>
      </c>
      <c r="G1097" s="467" t="s">
        <v>28</v>
      </c>
      <c r="H1097" s="467" t="e">
        <v>#N/A</v>
      </c>
    </row>
    <row r="1098" spans="1:8" hidden="1">
      <c r="A1098" s="473" t="s">
        <v>3471</v>
      </c>
      <c r="B1098" s="569"/>
      <c r="C1098" s="511" t="s">
        <v>3472</v>
      </c>
      <c r="D1098" s="475" t="s">
        <v>281</v>
      </c>
      <c r="E1098" s="466" t="str">
        <f>LEFT(A1098,2)</f>
        <v>NP</v>
      </c>
      <c r="F1098" s="467">
        <v>50</v>
      </c>
      <c r="G1098" s="467" t="s">
        <v>28</v>
      </c>
      <c r="H1098" s="467" t="s">
        <v>281</v>
      </c>
    </row>
    <row r="1099" spans="1:8" hidden="1">
      <c r="A1099" s="473" t="s">
        <v>3473</v>
      </c>
      <c r="B1099" s="569"/>
      <c r="C1099" s="511" t="s">
        <v>3474</v>
      </c>
      <c r="D1099" s="475" t="s">
        <v>281</v>
      </c>
      <c r="E1099" s="466" t="str">
        <f t="shared" si="17"/>
        <v>NP</v>
      </c>
      <c r="F1099" s="467">
        <v>50</v>
      </c>
      <c r="G1099" s="467" t="s">
        <v>28</v>
      </c>
      <c r="H1099" s="467" t="e">
        <v>#N/A</v>
      </c>
    </row>
    <row r="1100" spans="1:8" hidden="1">
      <c r="A1100" s="473" t="s">
        <v>3475</v>
      </c>
      <c r="B1100" s="569"/>
      <c r="C1100" s="511" t="s">
        <v>3476</v>
      </c>
      <c r="D1100" s="475" t="s">
        <v>281</v>
      </c>
      <c r="E1100" s="466" t="str">
        <f t="shared" si="17"/>
        <v>NP</v>
      </c>
      <c r="F1100" s="467">
        <v>50</v>
      </c>
      <c r="G1100" s="467" t="s">
        <v>28</v>
      </c>
      <c r="H1100" s="467" t="s">
        <v>281</v>
      </c>
    </row>
    <row r="1101" spans="1:8" hidden="1">
      <c r="A1101" s="473" t="s">
        <v>3477</v>
      </c>
      <c r="B1101" s="569"/>
      <c r="C1101" s="511" t="s">
        <v>3478</v>
      </c>
      <c r="D1101" s="475" t="s">
        <v>281</v>
      </c>
      <c r="E1101" s="466" t="str">
        <f t="shared" si="17"/>
        <v>NP</v>
      </c>
      <c r="F1101" s="467">
        <v>50</v>
      </c>
      <c r="G1101" s="467" t="s">
        <v>28</v>
      </c>
      <c r="H1101" s="467" t="s">
        <v>281</v>
      </c>
    </row>
    <row r="1102" spans="1:8" hidden="1">
      <c r="A1102" s="473" t="s">
        <v>1330</v>
      </c>
      <c r="B1102" s="569"/>
      <c r="C1102" s="511" t="s">
        <v>3479</v>
      </c>
      <c r="D1102" s="475" t="s">
        <v>281</v>
      </c>
      <c r="E1102" s="466" t="str">
        <f t="shared" si="17"/>
        <v>NP</v>
      </c>
      <c r="F1102" s="467">
        <v>50</v>
      </c>
      <c r="G1102" s="467" t="s">
        <v>28</v>
      </c>
      <c r="H1102" s="467">
        <v>0</v>
      </c>
    </row>
    <row r="1103" spans="1:8" hidden="1">
      <c r="A1103" s="473" t="s">
        <v>3480</v>
      </c>
      <c r="B1103" s="569"/>
      <c r="C1103" s="511" t="s">
        <v>3481</v>
      </c>
      <c r="D1103" s="475" t="s">
        <v>281</v>
      </c>
      <c r="E1103" s="466" t="str">
        <f t="shared" si="17"/>
        <v>NP</v>
      </c>
      <c r="F1103" s="467">
        <v>50</v>
      </c>
      <c r="G1103" s="467" t="s">
        <v>28</v>
      </c>
      <c r="H1103" s="467" t="e">
        <v>#N/A</v>
      </c>
    </row>
    <row r="1104" spans="1:8" hidden="1">
      <c r="A1104" s="473" t="s">
        <v>3482</v>
      </c>
      <c r="B1104" s="569"/>
      <c r="C1104" s="511" t="s">
        <v>3483</v>
      </c>
      <c r="D1104" s="475" t="s">
        <v>281</v>
      </c>
      <c r="E1104" s="466" t="str">
        <f t="shared" si="17"/>
        <v>NT</v>
      </c>
      <c r="F1104" s="467">
        <v>50</v>
      </c>
      <c r="G1104" s="467" t="s">
        <v>28</v>
      </c>
      <c r="H1104" s="467" t="e">
        <v>#N/A</v>
      </c>
    </row>
    <row r="1105" spans="1:8" hidden="1">
      <c r="A1105" s="496" t="s">
        <v>1270</v>
      </c>
      <c r="B1105" s="509"/>
      <c r="C1105" s="499" t="s">
        <v>3484</v>
      </c>
      <c r="D1105" s="498" t="s">
        <v>281</v>
      </c>
      <c r="E1105" s="466" t="str">
        <f t="shared" si="17"/>
        <v>BA</v>
      </c>
      <c r="F1105" s="467">
        <v>50</v>
      </c>
      <c r="G1105" s="467" t="s">
        <v>28</v>
      </c>
      <c r="H1105" s="467">
        <v>0</v>
      </c>
    </row>
    <row r="1106" spans="1:8" hidden="1">
      <c r="A1106" s="463" t="s">
        <v>3485</v>
      </c>
      <c r="B1106" s="562"/>
      <c r="C1106" s="514" t="s">
        <v>3486</v>
      </c>
      <c r="D1106" s="465" t="s">
        <v>281</v>
      </c>
      <c r="E1106" s="466" t="str">
        <f t="shared" si="17"/>
        <v>BA</v>
      </c>
      <c r="F1106" s="467">
        <v>50</v>
      </c>
      <c r="G1106" s="467" t="s">
        <v>28</v>
      </c>
      <c r="H1106" s="467" t="s">
        <v>281</v>
      </c>
    </row>
    <row r="1107" spans="1:8" hidden="1">
      <c r="A1107" s="463" t="s">
        <v>3487</v>
      </c>
      <c r="B1107" s="562"/>
      <c r="C1107" s="514" t="s">
        <v>3488</v>
      </c>
      <c r="D1107" s="465" t="s">
        <v>281</v>
      </c>
      <c r="E1107" s="466" t="str">
        <f t="shared" si="17"/>
        <v>BA</v>
      </c>
      <c r="F1107" s="467">
        <v>50</v>
      </c>
      <c r="G1107" s="467" t="s">
        <v>28</v>
      </c>
      <c r="H1107" s="467" t="e">
        <v>#N/A</v>
      </c>
    </row>
    <row r="1108" spans="1:8" hidden="1">
      <c r="A1108" s="463" t="s">
        <v>3489</v>
      </c>
      <c r="B1108" s="562"/>
      <c r="C1108" s="514" t="s">
        <v>3490</v>
      </c>
      <c r="D1108" s="465" t="s">
        <v>281</v>
      </c>
      <c r="E1108" s="466" t="str">
        <f t="shared" ref="E1108:E1172" si="18">LEFT(A1108,2)</f>
        <v>BA</v>
      </c>
      <c r="F1108" s="467">
        <v>50</v>
      </c>
      <c r="G1108" s="467" t="s">
        <v>28</v>
      </c>
      <c r="H1108" s="467" t="e">
        <v>#N/A</v>
      </c>
    </row>
    <row r="1109" spans="1:8" hidden="1">
      <c r="A1109" s="463" t="s">
        <v>3491</v>
      </c>
      <c r="B1109" s="562"/>
      <c r="C1109" s="514" t="s">
        <v>3492</v>
      </c>
      <c r="D1109" s="465" t="s">
        <v>281</v>
      </c>
      <c r="E1109" s="466" t="str">
        <f t="shared" si="18"/>
        <v>BA</v>
      </c>
      <c r="F1109" s="467">
        <v>50</v>
      </c>
      <c r="G1109" s="467" t="s">
        <v>28</v>
      </c>
      <c r="H1109" s="467" t="e">
        <v>#N/A</v>
      </c>
    </row>
    <row r="1110" spans="1:8" hidden="1">
      <c r="A1110" s="463" t="s">
        <v>3493</v>
      </c>
      <c r="B1110" s="562"/>
      <c r="C1110" s="514" t="s">
        <v>3494</v>
      </c>
      <c r="D1110" s="465" t="s">
        <v>281</v>
      </c>
      <c r="E1110" s="466" t="str">
        <f t="shared" si="18"/>
        <v>BA</v>
      </c>
      <c r="F1110" s="467">
        <v>50</v>
      </c>
      <c r="G1110" s="467" t="s">
        <v>28</v>
      </c>
      <c r="H1110" s="467">
        <v>0</v>
      </c>
    </row>
    <row r="1111" spans="1:8" hidden="1">
      <c r="A1111" s="463" t="s">
        <v>1231</v>
      </c>
      <c r="B1111" s="562"/>
      <c r="C1111" s="514" t="s">
        <v>3495</v>
      </c>
      <c r="D1111" s="465" t="s">
        <v>3496</v>
      </c>
      <c r="E1111" s="466" t="str">
        <f t="shared" si="18"/>
        <v>BA</v>
      </c>
      <c r="F1111" s="467">
        <v>50</v>
      </c>
      <c r="G1111" s="467" t="s">
        <v>28</v>
      </c>
      <c r="H1111" s="467">
        <v>0</v>
      </c>
    </row>
    <row r="1112" spans="1:8" hidden="1">
      <c r="A1112" s="463" t="s">
        <v>3497</v>
      </c>
      <c r="B1112" s="562"/>
      <c r="C1112" s="514" t="s">
        <v>3498</v>
      </c>
      <c r="D1112" s="465" t="s">
        <v>281</v>
      </c>
      <c r="E1112" s="466" t="str">
        <f t="shared" si="18"/>
        <v>BA</v>
      </c>
      <c r="F1112" s="467">
        <v>50</v>
      </c>
      <c r="G1112" s="467" t="s">
        <v>28</v>
      </c>
      <c r="H1112" s="467" t="s">
        <v>281</v>
      </c>
    </row>
    <row r="1113" spans="1:8" hidden="1">
      <c r="A1113" s="463" t="s">
        <v>3499</v>
      </c>
      <c r="B1113" s="571"/>
      <c r="C1113" s="514" t="s">
        <v>3500</v>
      </c>
      <c r="D1113" s="465" t="s">
        <v>3501</v>
      </c>
      <c r="E1113" s="466" t="str">
        <f t="shared" si="18"/>
        <v>KE</v>
      </c>
      <c r="F1113" s="467">
        <v>50</v>
      </c>
      <c r="G1113" s="467" t="s">
        <v>28</v>
      </c>
      <c r="H1113" s="467">
        <v>0</v>
      </c>
    </row>
    <row r="1114" spans="1:8" hidden="1">
      <c r="A1114" s="463" t="s">
        <v>469</v>
      </c>
      <c r="B1114" s="468"/>
      <c r="C1114" s="463" t="s">
        <v>3502</v>
      </c>
      <c r="D1114" s="465" t="s">
        <v>614</v>
      </c>
      <c r="E1114" s="466" t="str">
        <f t="shared" si="18"/>
        <v>KE</v>
      </c>
      <c r="F1114" s="467">
        <v>50</v>
      </c>
      <c r="G1114" s="467" t="s">
        <v>28</v>
      </c>
      <c r="H1114" s="467">
        <v>0</v>
      </c>
    </row>
    <row r="1115" spans="1:8" hidden="1">
      <c r="A1115" s="463" t="s">
        <v>1213</v>
      </c>
      <c r="B1115" s="464"/>
      <c r="C1115" s="514" t="s">
        <v>3503</v>
      </c>
      <c r="D1115" s="465" t="s">
        <v>3504</v>
      </c>
      <c r="E1115" s="466" t="str">
        <f t="shared" si="18"/>
        <v>ke</v>
      </c>
      <c r="F1115" s="467">
        <v>50</v>
      </c>
      <c r="G1115" s="467" t="s">
        <v>28</v>
      </c>
      <c r="H1115" s="467">
        <v>0</v>
      </c>
    </row>
    <row r="1116" spans="1:8" hidden="1">
      <c r="A1116" s="463" t="s">
        <v>1331</v>
      </c>
      <c r="B1116" s="464"/>
      <c r="C1116" s="514" t="s">
        <v>3505</v>
      </c>
      <c r="D1116" s="465" t="s">
        <v>3506</v>
      </c>
      <c r="E1116" s="466" t="str">
        <f t="shared" si="18"/>
        <v>KE</v>
      </c>
      <c r="F1116" s="467">
        <v>50</v>
      </c>
      <c r="G1116" s="467" t="s">
        <v>28</v>
      </c>
      <c r="H1116" s="467">
        <v>0</v>
      </c>
    </row>
    <row r="1117" spans="1:8" hidden="1">
      <c r="A1117" s="489" t="s">
        <v>1332</v>
      </c>
      <c r="B1117" s="572"/>
      <c r="C1117" s="564" t="s">
        <v>3507</v>
      </c>
      <c r="D1117" s="491" t="s">
        <v>281</v>
      </c>
      <c r="E1117" s="466" t="str">
        <f t="shared" si="18"/>
        <v>KV</v>
      </c>
      <c r="F1117" s="467">
        <v>50</v>
      </c>
      <c r="G1117" s="467" t="s">
        <v>28</v>
      </c>
      <c r="H1117" s="467">
        <v>0</v>
      </c>
    </row>
    <row r="1118" spans="1:8" hidden="1">
      <c r="A1118" s="489" t="s">
        <v>3508</v>
      </c>
      <c r="B1118" s="572"/>
      <c r="C1118" s="564" t="s">
        <v>3509</v>
      </c>
      <c r="D1118" s="491" t="s">
        <v>281</v>
      </c>
      <c r="E1118" s="466" t="str">
        <f t="shared" si="18"/>
        <v>KV</v>
      </c>
      <c r="F1118" s="467">
        <v>50</v>
      </c>
      <c r="G1118" s="467" t="s">
        <v>28</v>
      </c>
      <c r="H1118" s="467" t="s">
        <v>281</v>
      </c>
    </row>
    <row r="1119" spans="1:8" hidden="1">
      <c r="A1119" s="489" t="s">
        <v>3510</v>
      </c>
      <c r="B1119" s="572"/>
      <c r="C1119" s="564" t="s">
        <v>3511</v>
      </c>
      <c r="D1119" s="491" t="s">
        <v>281</v>
      </c>
      <c r="E1119" s="466" t="str">
        <f t="shared" si="18"/>
        <v>KV</v>
      </c>
      <c r="F1119" s="467">
        <v>50</v>
      </c>
      <c r="G1119" s="467" t="s">
        <v>28</v>
      </c>
      <c r="H1119" s="467" t="s">
        <v>281</v>
      </c>
    </row>
    <row r="1120" spans="1:8" hidden="1">
      <c r="A1120" s="489" t="s">
        <v>3512</v>
      </c>
      <c r="B1120" s="572"/>
      <c r="C1120" s="564" t="s">
        <v>3513</v>
      </c>
      <c r="D1120" s="491" t="s">
        <v>281</v>
      </c>
      <c r="E1120" s="466" t="str">
        <f t="shared" si="18"/>
        <v>KV</v>
      </c>
      <c r="F1120" s="467">
        <v>50</v>
      </c>
      <c r="G1120" s="467" t="s">
        <v>28</v>
      </c>
      <c r="H1120" s="467" t="s">
        <v>281</v>
      </c>
    </row>
    <row r="1121" spans="1:8" hidden="1">
      <c r="A1121" s="489" t="s">
        <v>1333</v>
      </c>
      <c r="B1121" s="572"/>
      <c r="C1121" s="564" t="s">
        <v>3514</v>
      </c>
      <c r="D1121" s="491" t="s">
        <v>281</v>
      </c>
      <c r="E1121" s="466" t="str">
        <f t="shared" si="18"/>
        <v>KV</v>
      </c>
      <c r="F1121" s="467">
        <v>50</v>
      </c>
      <c r="G1121" s="467" t="s">
        <v>28</v>
      </c>
      <c r="H1121" s="467">
        <v>0</v>
      </c>
    </row>
    <row r="1122" spans="1:8" hidden="1">
      <c r="A1122" s="489" t="s">
        <v>3515</v>
      </c>
      <c r="B1122" s="572"/>
      <c r="C1122" s="564" t="s">
        <v>3516</v>
      </c>
      <c r="D1122" s="491" t="s">
        <v>281</v>
      </c>
      <c r="E1122" s="466" t="str">
        <f t="shared" si="18"/>
        <v>KV</v>
      </c>
      <c r="F1122" s="467">
        <v>50</v>
      </c>
      <c r="G1122" s="467" t="s">
        <v>28</v>
      </c>
      <c r="H1122" s="467" t="s">
        <v>281</v>
      </c>
    </row>
    <row r="1123" spans="1:8" hidden="1">
      <c r="A1123" s="489" t="s">
        <v>3517</v>
      </c>
      <c r="B1123" s="572"/>
      <c r="C1123" s="564" t="s">
        <v>3518</v>
      </c>
      <c r="D1123" s="491" t="s">
        <v>281</v>
      </c>
      <c r="E1123" s="466" t="str">
        <f t="shared" si="18"/>
        <v>KV</v>
      </c>
      <c r="F1123" s="467">
        <v>50</v>
      </c>
      <c r="G1123" s="467" t="s">
        <v>28</v>
      </c>
      <c r="H1123" s="467" t="s">
        <v>281</v>
      </c>
    </row>
    <row r="1124" spans="1:8" hidden="1">
      <c r="A1124" s="489" t="s">
        <v>3519</v>
      </c>
      <c r="B1124" s="572"/>
      <c r="C1124" s="564" t="s">
        <v>3520</v>
      </c>
      <c r="D1124" s="491" t="s">
        <v>281</v>
      </c>
      <c r="E1124" s="466" t="str">
        <f t="shared" si="18"/>
        <v>KV</v>
      </c>
      <c r="F1124" s="467">
        <v>50</v>
      </c>
      <c r="G1124" s="467" t="s">
        <v>28</v>
      </c>
      <c r="H1124" s="467" t="s">
        <v>281</v>
      </c>
    </row>
    <row r="1125" spans="1:8" s="478" customFormat="1" hidden="1">
      <c r="A1125" s="469" t="s">
        <v>3521</v>
      </c>
      <c r="B1125" s="573" t="s">
        <v>2259</v>
      </c>
      <c r="C1125" s="566" t="s">
        <v>3522</v>
      </c>
      <c r="D1125" s="471" t="s">
        <v>281</v>
      </c>
      <c r="E1125" s="466" t="str">
        <f t="shared" si="18"/>
        <v>OX</v>
      </c>
      <c r="F1125" s="467">
        <v>50</v>
      </c>
      <c r="G1125" s="467" t="s">
        <v>28</v>
      </c>
      <c r="H1125" s="467" t="e">
        <v>#N/A</v>
      </c>
    </row>
    <row r="1126" spans="1:8" s="478" customFormat="1" hidden="1">
      <c r="A1126" s="469" t="s">
        <v>3523</v>
      </c>
      <c r="B1126" s="573" t="s">
        <v>2259</v>
      </c>
      <c r="C1126" s="566" t="s">
        <v>3524</v>
      </c>
      <c r="D1126" s="471" t="s">
        <v>281</v>
      </c>
      <c r="E1126" s="466" t="str">
        <f t="shared" si="18"/>
        <v>OX</v>
      </c>
      <c r="F1126" s="467">
        <v>50</v>
      </c>
      <c r="G1126" s="467" t="s">
        <v>28</v>
      </c>
      <c r="H1126" s="467" t="e">
        <v>#N/A</v>
      </c>
    </row>
    <row r="1127" spans="1:8" s="478" customFormat="1" hidden="1">
      <c r="A1127" s="469" t="s">
        <v>3525</v>
      </c>
      <c r="B1127" s="573" t="s">
        <v>2259</v>
      </c>
      <c r="C1127" s="566" t="s">
        <v>3526</v>
      </c>
      <c r="D1127" s="471" t="s">
        <v>281</v>
      </c>
      <c r="E1127" s="466" t="str">
        <f t="shared" si="18"/>
        <v>OX</v>
      </c>
      <c r="F1127" s="467">
        <v>50</v>
      </c>
      <c r="G1127" s="467" t="s">
        <v>28</v>
      </c>
      <c r="H1127" s="467" t="e">
        <v>#N/A</v>
      </c>
    </row>
    <row r="1128" spans="1:8" s="478" customFormat="1" hidden="1">
      <c r="A1128" s="469" t="s">
        <v>3527</v>
      </c>
      <c r="B1128" s="573" t="s">
        <v>2259</v>
      </c>
      <c r="C1128" s="566" t="s">
        <v>3528</v>
      </c>
      <c r="D1128" s="471" t="s">
        <v>281</v>
      </c>
      <c r="E1128" s="466" t="str">
        <f t="shared" si="18"/>
        <v>OX</v>
      </c>
      <c r="F1128" s="467">
        <v>50</v>
      </c>
      <c r="G1128" s="467" t="s">
        <v>28</v>
      </c>
      <c r="H1128" s="467" t="e">
        <v>#N/A</v>
      </c>
    </row>
    <row r="1129" spans="1:8" s="478" customFormat="1" hidden="1">
      <c r="A1129" s="469" t="s">
        <v>3529</v>
      </c>
      <c r="B1129" s="573" t="s">
        <v>2259</v>
      </c>
      <c r="C1129" s="566" t="s">
        <v>3530</v>
      </c>
      <c r="D1129" s="471" t="s">
        <v>281</v>
      </c>
      <c r="E1129" s="466" t="str">
        <f t="shared" si="18"/>
        <v>OX</v>
      </c>
      <c r="F1129" s="467">
        <v>50</v>
      </c>
      <c r="G1129" s="467" t="s">
        <v>28</v>
      </c>
      <c r="H1129" s="467" t="e">
        <v>#N/A</v>
      </c>
    </row>
    <row r="1130" spans="1:8" s="478" customFormat="1">
      <c r="A1130" s="469" t="s">
        <v>3531</v>
      </c>
      <c r="B1130" s="573" t="s">
        <v>2259</v>
      </c>
      <c r="C1130" s="566" t="s">
        <v>3532</v>
      </c>
      <c r="D1130" s="471" t="s">
        <v>281</v>
      </c>
      <c r="E1130" s="466" t="str">
        <f t="shared" si="18"/>
        <v>OX</v>
      </c>
      <c r="F1130" s="467">
        <v>50</v>
      </c>
      <c r="G1130" s="467" t="s">
        <v>28</v>
      </c>
      <c r="H1130" s="467" t="e">
        <v>#N/A</v>
      </c>
    </row>
    <row r="1131" spans="1:8" s="478" customFormat="1" hidden="1">
      <c r="A1131" s="469" t="s">
        <v>3533</v>
      </c>
      <c r="B1131" s="561" t="s">
        <v>2259</v>
      </c>
      <c r="C1131" s="469" t="s">
        <v>3534</v>
      </c>
      <c r="D1131" s="471" t="s">
        <v>281</v>
      </c>
      <c r="E1131" s="466" t="str">
        <f t="shared" si="18"/>
        <v>OX</v>
      </c>
      <c r="F1131" s="467">
        <v>50</v>
      </c>
      <c r="G1131" s="467" t="s">
        <v>28</v>
      </c>
      <c r="H1131" s="467">
        <v>0</v>
      </c>
    </row>
    <row r="1132" spans="1:8" s="478" customFormat="1" hidden="1">
      <c r="A1132" s="469" t="s">
        <v>3535</v>
      </c>
      <c r="B1132" s="573" t="s">
        <v>2259</v>
      </c>
      <c r="C1132" s="566" t="s">
        <v>3536</v>
      </c>
      <c r="D1132" s="471" t="s">
        <v>281</v>
      </c>
      <c r="E1132" s="466" t="str">
        <f t="shared" si="18"/>
        <v>OX</v>
      </c>
      <c r="F1132" s="467">
        <v>50</v>
      </c>
      <c r="G1132" s="467" t="s">
        <v>28</v>
      </c>
      <c r="H1132" s="467" t="e">
        <v>#N/A</v>
      </c>
    </row>
    <row r="1133" spans="1:8" s="478" customFormat="1" hidden="1">
      <c r="A1133" s="469" t="s">
        <v>3537</v>
      </c>
      <c r="B1133" s="573" t="s">
        <v>2259</v>
      </c>
      <c r="C1133" s="566" t="s">
        <v>3538</v>
      </c>
      <c r="D1133" s="471" t="s">
        <v>281</v>
      </c>
      <c r="E1133" s="466" t="str">
        <f t="shared" si="18"/>
        <v>OX</v>
      </c>
      <c r="F1133" s="467">
        <v>50</v>
      </c>
      <c r="G1133" s="467" t="s">
        <v>28</v>
      </c>
      <c r="H1133" s="467">
        <v>0</v>
      </c>
    </row>
    <row r="1134" spans="1:8" s="478" customFormat="1" hidden="1">
      <c r="A1134" s="469" t="s">
        <v>3539</v>
      </c>
      <c r="B1134" s="573" t="s">
        <v>2259</v>
      </c>
      <c r="C1134" s="566" t="s">
        <v>3540</v>
      </c>
      <c r="D1134" s="471" t="s">
        <v>281</v>
      </c>
      <c r="E1134" s="466" t="str">
        <f t="shared" si="18"/>
        <v>OX</v>
      </c>
      <c r="F1134" s="467">
        <v>50</v>
      </c>
      <c r="G1134" s="467" t="s">
        <v>28</v>
      </c>
      <c r="H1134" s="467" t="e">
        <v>#N/A</v>
      </c>
    </row>
    <row r="1135" spans="1:8" s="478" customFormat="1" hidden="1">
      <c r="A1135" s="469" t="s">
        <v>3541</v>
      </c>
      <c r="B1135" s="573" t="s">
        <v>2259</v>
      </c>
      <c r="C1135" s="566" t="s">
        <v>3542</v>
      </c>
      <c r="D1135" s="471" t="s">
        <v>281</v>
      </c>
      <c r="E1135" s="466" t="str">
        <f t="shared" si="18"/>
        <v>OX</v>
      </c>
      <c r="F1135" s="467">
        <v>50</v>
      </c>
      <c r="G1135" s="467" t="s">
        <v>28</v>
      </c>
      <c r="H1135" s="467" t="e">
        <v>#N/A</v>
      </c>
    </row>
    <row r="1136" spans="1:8" s="478" customFormat="1" hidden="1">
      <c r="A1136" s="469" t="s">
        <v>3543</v>
      </c>
      <c r="B1136" s="573" t="s">
        <v>2259</v>
      </c>
      <c r="C1136" s="566" t="s">
        <v>3544</v>
      </c>
      <c r="D1136" s="471" t="s">
        <v>281</v>
      </c>
      <c r="E1136" s="466" t="str">
        <f t="shared" si="18"/>
        <v>OX</v>
      </c>
      <c r="F1136" s="467">
        <v>50</v>
      </c>
      <c r="G1136" s="467" t="s">
        <v>28</v>
      </c>
      <c r="H1136" s="467" t="e">
        <v>#N/A</v>
      </c>
    </row>
    <row r="1137" spans="1:8" s="478" customFormat="1" hidden="1">
      <c r="A1137" s="469" t="s">
        <v>3545</v>
      </c>
      <c r="B1137" s="561" t="s">
        <v>2259</v>
      </c>
      <c r="C1137" s="469" t="s">
        <v>3546</v>
      </c>
      <c r="D1137" s="471" t="s">
        <v>281</v>
      </c>
      <c r="E1137" s="466" t="str">
        <f t="shared" si="18"/>
        <v>OX</v>
      </c>
      <c r="F1137" s="467">
        <v>50</v>
      </c>
      <c r="G1137" s="467" t="s">
        <v>28</v>
      </c>
      <c r="H1137" s="467" t="e">
        <v>#N/A</v>
      </c>
    </row>
    <row r="1138" spans="1:8" s="478" customFormat="1" hidden="1">
      <c r="A1138" s="469" t="s">
        <v>3547</v>
      </c>
      <c r="B1138" s="561" t="s">
        <v>2259</v>
      </c>
      <c r="C1138" s="469" t="s">
        <v>3548</v>
      </c>
      <c r="D1138" s="471" t="s">
        <v>281</v>
      </c>
      <c r="E1138" s="466" t="str">
        <f t="shared" si="18"/>
        <v>OX</v>
      </c>
      <c r="F1138" s="467">
        <v>50</v>
      </c>
      <c r="G1138" s="467" t="s">
        <v>28</v>
      </c>
      <c r="H1138" s="467" t="e">
        <v>#N/A</v>
      </c>
    </row>
    <row r="1139" spans="1:8" s="478" customFormat="1" hidden="1">
      <c r="A1139" s="469" t="s">
        <v>3549</v>
      </c>
      <c r="B1139" s="561" t="s">
        <v>2259</v>
      </c>
      <c r="C1139" s="469" t="s">
        <v>3550</v>
      </c>
      <c r="D1139" s="471" t="s">
        <v>281</v>
      </c>
      <c r="E1139" s="466" t="str">
        <f t="shared" si="18"/>
        <v>OX</v>
      </c>
      <c r="F1139" s="467">
        <v>50</v>
      </c>
      <c r="G1139" s="467" t="s">
        <v>28</v>
      </c>
      <c r="H1139" s="467" t="e">
        <v>#N/A</v>
      </c>
    </row>
    <row r="1140" spans="1:8" hidden="1">
      <c r="A1140" s="463" t="s">
        <v>3551</v>
      </c>
      <c r="B1140" s="464"/>
      <c r="C1140" s="514" t="s">
        <v>3552</v>
      </c>
      <c r="D1140" s="465" t="s">
        <v>281</v>
      </c>
      <c r="E1140" s="466" t="str">
        <f t="shared" si="18"/>
        <v>KH</v>
      </c>
      <c r="F1140" s="467">
        <v>50</v>
      </c>
      <c r="G1140" s="467" t="s">
        <v>28</v>
      </c>
      <c r="H1140" s="467" t="e">
        <v>#N/A</v>
      </c>
    </row>
    <row r="1141" spans="1:8" hidden="1">
      <c r="A1141" s="463" t="s">
        <v>1363</v>
      </c>
      <c r="B1141" s="465"/>
      <c r="C1141" s="510" t="s">
        <v>3553</v>
      </c>
      <c r="D1141" s="465" t="s">
        <v>1808</v>
      </c>
      <c r="E1141" s="466" t="str">
        <f t="shared" si="18"/>
        <v>ox</v>
      </c>
      <c r="F1141" s="467">
        <v>50</v>
      </c>
      <c r="G1141" s="467" t="s">
        <v>28</v>
      </c>
      <c r="H1141" s="467">
        <v>0.9</v>
      </c>
    </row>
    <row r="1142" spans="1:8" s="478" customFormat="1" hidden="1">
      <c r="A1142" s="489" t="s">
        <v>1366</v>
      </c>
      <c r="B1142" s="491" t="s">
        <v>3554</v>
      </c>
      <c r="C1142" s="533" t="s">
        <v>3555</v>
      </c>
      <c r="D1142" s="491" t="s">
        <v>3556</v>
      </c>
      <c r="E1142" s="466" t="str">
        <f t="shared" si="18"/>
        <v>LC</v>
      </c>
      <c r="F1142" s="467">
        <v>50</v>
      </c>
      <c r="G1142" s="467"/>
      <c r="H1142" s="467">
        <v>0.19</v>
      </c>
    </row>
    <row r="1143" spans="1:8" s="478" customFormat="1" hidden="1">
      <c r="A1143" s="489" t="s">
        <v>1375</v>
      </c>
      <c r="B1143" s="491" t="s">
        <v>3557</v>
      </c>
      <c r="C1143" s="533" t="s">
        <v>3558</v>
      </c>
      <c r="D1143" s="491" t="s">
        <v>3556</v>
      </c>
      <c r="E1143" s="466" t="str">
        <f t="shared" si="18"/>
        <v>LB</v>
      </c>
      <c r="F1143" s="467">
        <v>50</v>
      </c>
      <c r="G1143" s="467"/>
      <c r="H1143" s="467">
        <v>0.08</v>
      </c>
    </row>
    <row r="1144" spans="1:8" s="478" customFormat="1" hidden="1">
      <c r="A1144" s="489" t="s">
        <v>3559</v>
      </c>
      <c r="B1144" s="491"/>
      <c r="C1144" s="533" t="s">
        <v>3560</v>
      </c>
      <c r="D1144" s="491" t="s">
        <v>3062</v>
      </c>
      <c r="E1144" s="466" t="str">
        <f t="shared" si="18"/>
        <v>LT</v>
      </c>
      <c r="F1144" s="467">
        <v>50</v>
      </c>
      <c r="G1144" s="467"/>
      <c r="H1144" s="467" t="e">
        <v>#N/A</v>
      </c>
    </row>
    <row r="1145" spans="1:8" s="478" customFormat="1" hidden="1">
      <c r="A1145" s="489" t="s">
        <v>1367</v>
      </c>
      <c r="B1145" s="556" t="s">
        <v>3561</v>
      </c>
      <c r="C1145" s="533" t="s">
        <v>3562</v>
      </c>
      <c r="D1145" s="491" t="s">
        <v>1814</v>
      </c>
      <c r="E1145" s="466" t="str">
        <f t="shared" si="18"/>
        <v>So</v>
      </c>
      <c r="F1145" s="467">
        <v>50</v>
      </c>
      <c r="G1145" s="467"/>
      <c r="H1145" s="467">
        <v>3.98</v>
      </c>
    </row>
    <row r="1146" spans="1:8" s="478" customFormat="1" hidden="1">
      <c r="A1146" s="489" t="s">
        <v>1376</v>
      </c>
      <c r="B1146" s="556" t="s">
        <v>3561</v>
      </c>
      <c r="C1146" s="533" t="s">
        <v>3563</v>
      </c>
      <c r="D1146" s="491" t="s">
        <v>1814</v>
      </c>
      <c r="E1146" s="466" t="str">
        <f t="shared" si="18"/>
        <v>So</v>
      </c>
      <c r="F1146" s="467">
        <v>50</v>
      </c>
      <c r="G1146" s="467"/>
      <c r="H1146" s="467">
        <v>5.76</v>
      </c>
    </row>
    <row r="1147" spans="1:8" s="478" customFormat="1" hidden="1">
      <c r="A1147" s="489" t="s">
        <v>1368</v>
      </c>
      <c r="B1147" s="565" t="s">
        <v>3564</v>
      </c>
      <c r="C1147" s="533" t="s">
        <v>3565</v>
      </c>
      <c r="D1147" s="491" t="s">
        <v>3556</v>
      </c>
      <c r="E1147" s="466" t="str">
        <f t="shared" si="18"/>
        <v>VC</v>
      </c>
      <c r="F1147" s="467">
        <v>2000</v>
      </c>
      <c r="G1147" s="467"/>
      <c r="H1147" s="467">
        <v>0.19</v>
      </c>
    </row>
    <row r="1148" spans="1:8" s="478" customFormat="1" hidden="1">
      <c r="A1148" s="494" t="s">
        <v>3566</v>
      </c>
      <c r="B1148" s="574" t="s">
        <v>3567</v>
      </c>
      <c r="C1148" s="532" t="s">
        <v>3568</v>
      </c>
      <c r="D1148" s="495" t="s">
        <v>614</v>
      </c>
      <c r="E1148" s="466" t="str">
        <f t="shared" si="18"/>
        <v>U1</v>
      </c>
      <c r="F1148" s="467">
        <v>50</v>
      </c>
      <c r="G1148" s="467" t="s">
        <v>28</v>
      </c>
      <c r="H1148" s="467" t="s">
        <v>614</v>
      </c>
    </row>
    <row r="1149" spans="1:8" s="478" customFormat="1" hidden="1">
      <c r="A1149" s="494" t="s">
        <v>3569</v>
      </c>
      <c r="B1149" s="574" t="s">
        <v>3567</v>
      </c>
      <c r="C1149" s="532" t="s">
        <v>3570</v>
      </c>
      <c r="D1149" s="495" t="s">
        <v>614</v>
      </c>
      <c r="E1149" s="466" t="str">
        <f t="shared" si="18"/>
        <v>U2</v>
      </c>
      <c r="F1149" s="467">
        <v>50</v>
      </c>
      <c r="G1149" s="467" t="s">
        <v>28</v>
      </c>
      <c r="H1149" s="467" t="s">
        <v>614</v>
      </c>
    </row>
    <row r="1150" spans="1:8" s="478" customFormat="1" hidden="1">
      <c r="A1150" s="494" t="s">
        <v>3571</v>
      </c>
      <c r="B1150" s="574" t="s">
        <v>2256</v>
      </c>
      <c r="C1150" s="532" t="s">
        <v>3572</v>
      </c>
      <c r="D1150" s="495" t="s">
        <v>614</v>
      </c>
      <c r="E1150" s="466" t="str">
        <f t="shared" si="18"/>
        <v>U1</v>
      </c>
      <c r="F1150" s="467">
        <v>50</v>
      </c>
      <c r="G1150" s="467" t="s">
        <v>28</v>
      </c>
      <c r="H1150" s="467" t="s">
        <v>614</v>
      </c>
    </row>
    <row r="1151" spans="1:8" s="478" customFormat="1" hidden="1">
      <c r="A1151" s="494" t="s">
        <v>3573</v>
      </c>
      <c r="B1151" s="574" t="s">
        <v>3574</v>
      </c>
      <c r="C1151" s="532" t="s">
        <v>3575</v>
      </c>
      <c r="D1151" s="495" t="s">
        <v>614</v>
      </c>
      <c r="E1151" s="466" t="str">
        <f t="shared" si="18"/>
        <v>U8</v>
      </c>
      <c r="F1151" s="467">
        <v>50</v>
      </c>
      <c r="G1151" s="467" t="s">
        <v>28</v>
      </c>
      <c r="H1151" s="467" t="e">
        <v>#N/A</v>
      </c>
    </row>
    <row r="1152" spans="1:8" s="478" customFormat="1" hidden="1">
      <c r="A1152" s="494" t="s">
        <v>3576</v>
      </c>
      <c r="B1152" s="574" t="s">
        <v>2256</v>
      </c>
      <c r="C1152" s="532" t="s">
        <v>3577</v>
      </c>
      <c r="D1152" s="495" t="s">
        <v>614</v>
      </c>
      <c r="E1152" s="466" t="str">
        <f t="shared" si="18"/>
        <v>U1</v>
      </c>
      <c r="F1152" s="467">
        <v>50</v>
      </c>
      <c r="G1152" s="467" t="s">
        <v>28</v>
      </c>
      <c r="H1152" s="467" t="s">
        <v>614</v>
      </c>
    </row>
    <row r="1153" spans="1:8" hidden="1">
      <c r="A1153" s="494" t="s">
        <v>3578</v>
      </c>
      <c r="B1153" s="574" t="s">
        <v>2256</v>
      </c>
      <c r="C1153" s="532" t="s">
        <v>3579</v>
      </c>
      <c r="D1153" s="495" t="s">
        <v>285</v>
      </c>
      <c r="E1153" s="466" t="str">
        <f t="shared" si="18"/>
        <v>XA</v>
      </c>
      <c r="F1153" s="467">
        <v>50</v>
      </c>
      <c r="G1153" s="467" t="s">
        <v>28</v>
      </c>
      <c r="H1153" s="467">
        <v>0</v>
      </c>
    </row>
    <row r="1154" spans="1:8" s="478" customFormat="1" hidden="1">
      <c r="A1154" s="489" t="s">
        <v>3580</v>
      </c>
      <c r="B1154" s="491"/>
      <c r="C1154" s="533" t="s">
        <v>3581</v>
      </c>
      <c r="D1154" s="491" t="s">
        <v>285</v>
      </c>
      <c r="E1154" s="466" t="str">
        <f t="shared" si="18"/>
        <v>AK</v>
      </c>
      <c r="F1154" s="467">
        <v>50</v>
      </c>
      <c r="G1154" s="467" t="s">
        <v>28</v>
      </c>
      <c r="H1154" s="467" t="s">
        <v>285</v>
      </c>
    </row>
    <row r="1155" spans="1:8" s="478" customFormat="1" hidden="1">
      <c r="A1155" s="489" t="s">
        <v>3582</v>
      </c>
      <c r="B1155" s="491"/>
      <c r="C1155" s="533" t="s">
        <v>3583</v>
      </c>
      <c r="D1155" s="491" t="s">
        <v>285</v>
      </c>
      <c r="E1155" s="466" t="str">
        <f t="shared" si="18"/>
        <v>VK</v>
      </c>
      <c r="F1155" s="467">
        <v>50</v>
      </c>
      <c r="G1155" s="467" t="s">
        <v>28</v>
      </c>
      <c r="H1155" s="467" t="s">
        <v>285</v>
      </c>
    </row>
    <row r="1156" spans="1:8" s="478" customFormat="1" hidden="1">
      <c r="A1156" s="489" t="s">
        <v>3584</v>
      </c>
      <c r="B1156" s="491"/>
      <c r="C1156" s="533" t="s">
        <v>3585</v>
      </c>
      <c r="D1156" s="491" t="s">
        <v>285</v>
      </c>
      <c r="E1156" s="466" t="str">
        <f t="shared" si="18"/>
        <v>AV</v>
      </c>
      <c r="F1156" s="467">
        <v>50</v>
      </c>
      <c r="G1156" s="467" t="s">
        <v>28</v>
      </c>
      <c r="H1156" s="467" t="e">
        <v>#N/A</v>
      </c>
    </row>
    <row r="1157" spans="1:8" s="478" customFormat="1" hidden="1">
      <c r="A1157" s="489" t="s">
        <v>3586</v>
      </c>
      <c r="B1157" s="491"/>
      <c r="C1157" s="533" t="s">
        <v>3587</v>
      </c>
      <c r="D1157" s="491" t="s">
        <v>285</v>
      </c>
      <c r="E1157" s="466" t="str">
        <f t="shared" si="18"/>
        <v>AV</v>
      </c>
      <c r="F1157" s="467">
        <v>50</v>
      </c>
      <c r="G1157" s="467" t="s">
        <v>28</v>
      </c>
      <c r="H1157" s="467" t="e">
        <v>#N/A</v>
      </c>
    </row>
    <row r="1158" spans="1:8" hidden="1">
      <c r="A1158" s="463" t="s">
        <v>1364</v>
      </c>
      <c r="B1158" s="465"/>
      <c r="C1158" s="510" t="s">
        <v>3588</v>
      </c>
      <c r="D1158" s="465" t="s">
        <v>1808</v>
      </c>
      <c r="E1158" s="466" t="str">
        <f t="shared" si="18"/>
        <v>ax</v>
      </c>
      <c r="F1158" s="467">
        <v>50</v>
      </c>
      <c r="G1158" s="467" t="s">
        <v>28</v>
      </c>
      <c r="H1158" s="467">
        <v>0.3</v>
      </c>
    </row>
    <row r="1159" spans="1:8" hidden="1">
      <c r="A1159" s="575" t="s">
        <v>3589</v>
      </c>
      <c r="B1159" s="560"/>
      <c r="C1159" s="494" t="s">
        <v>3590</v>
      </c>
      <c r="D1159" s="495" t="s">
        <v>281</v>
      </c>
      <c r="E1159" s="466" t="str">
        <f t="shared" si="18"/>
        <v>GI</v>
      </c>
      <c r="F1159" s="467">
        <v>50</v>
      </c>
      <c r="G1159" s="467" t="s">
        <v>28</v>
      </c>
      <c r="H1159" s="467" t="e">
        <v>#N/A</v>
      </c>
    </row>
    <row r="1160" spans="1:8" hidden="1">
      <c r="A1160" s="575" t="s">
        <v>3591</v>
      </c>
      <c r="B1160" s="560"/>
      <c r="C1160" s="494" t="s">
        <v>3592</v>
      </c>
      <c r="D1160" s="495" t="s">
        <v>281</v>
      </c>
      <c r="E1160" s="466" t="str">
        <f t="shared" si="18"/>
        <v>GI</v>
      </c>
      <c r="F1160" s="467">
        <v>50</v>
      </c>
      <c r="G1160" s="467" t="s">
        <v>28</v>
      </c>
      <c r="H1160" s="467" t="e">
        <v>#N/A</v>
      </c>
    </row>
    <row r="1161" spans="1:8" hidden="1">
      <c r="A1161" s="575" t="s">
        <v>3593</v>
      </c>
      <c r="B1161" s="560"/>
      <c r="C1161" s="494" t="s">
        <v>3594</v>
      </c>
      <c r="D1161" s="495" t="s">
        <v>281</v>
      </c>
      <c r="E1161" s="466" t="str">
        <f t="shared" si="18"/>
        <v>GI</v>
      </c>
      <c r="F1161" s="467">
        <v>50</v>
      </c>
      <c r="G1161" s="467" t="s">
        <v>28</v>
      </c>
      <c r="H1161" s="467" t="e">
        <v>#N/A</v>
      </c>
    </row>
    <row r="1162" spans="1:8" hidden="1">
      <c r="A1162" s="575" t="s">
        <v>1273</v>
      </c>
      <c r="B1162" s="560"/>
      <c r="C1162" s="494" t="s">
        <v>3595</v>
      </c>
      <c r="D1162" s="495" t="s">
        <v>281</v>
      </c>
      <c r="E1162" s="466" t="str">
        <f t="shared" si="18"/>
        <v>GI</v>
      </c>
      <c r="F1162" s="467">
        <v>50</v>
      </c>
      <c r="G1162" s="467" t="s">
        <v>28</v>
      </c>
      <c r="H1162" s="467">
        <v>0</v>
      </c>
    </row>
    <row r="1163" spans="1:8" hidden="1">
      <c r="A1163" s="575" t="s">
        <v>1175</v>
      </c>
      <c r="B1163" s="560"/>
      <c r="C1163" s="494" t="s">
        <v>3596</v>
      </c>
      <c r="D1163" s="495" t="s">
        <v>281</v>
      </c>
      <c r="E1163" s="466" t="str">
        <f t="shared" si="18"/>
        <v>GI</v>
      </c>
      <c r="F1163" s="467">
        <v>50</v>
      </c>
      <c r="G1163" s="467" t="s">
        <v>28</v>
      </c>
      <c r="H1163" s="467">
        <v>0</v>
      </c>
    </row>
    <row r="1164" spans="1:8" hidden="1">
      <c r="A1164" s="575" t="s">
        <v>617</v>
      </c>
      <c r="B1164" s="560"/>
      <c r="C1164" s="494" t="s">
        <v>3597</v>
      </c>
      <c r="D1164" s="495" t="s">
        <v>281</v>
      </c>
      <c r="E1164" s="466" t="str">
        <f t="shared" si="18"/>
        <v>GI</v>
      </c>
      <c r="F1164" s="467">
        <v>50</v>
      </c>
      <c r="G1164" s="467" t="s">
        <v>28</v>
      </c>
      <c r="H1164" s="467">
        <v>1</v>
      </c>
    </row>
    <row r="1165" spans="1:8" hidden="1">
      <c r="A1165" s="575" t="s">
        <v>600</v>
      </c>
      <c r="B1165" s="560"/>
      <c r="C1165" s="494" t="s">
        <v>601</v>
      </c>
      <c r="D1165" s="495" t="s">
        <v>281</v>
      </c>
      <c r="E1165" s="466" t="str">
        <f t="shared" si="18"/>
        <v>GI</v>
      </c>
      <c r="F1165" s="467">
        <v>50</v>
      </c>
      <c r="G1165" s="467" t="s">
        <v>28</v>
      </c>
      <c r="H1165" s="467">
        <v>0</v>
      </c>
    </row>
    <row r="1166" spans="1:8" hidden="1">
      <c r="A1166" s="575" t="s">
        <v>613</v>
      </c>
      <c r="B1166" s="560"/>
      <c r="C1166" s="494" t="s">
        <v>3598</v>
      </c>
      <c r="D1166" s="495" t="s">
        <v>281</v>
      </c>
      <c r="E1166" s="466" t="str">
        <f t="shared" si="18"/>
        <v>GI</v>
      </c>
      <c r="F1166" s="467">
        <v>50</v>
      </c>
      <c r="G1166" s="467" t="s">
        <v>28</v>
      </c>
      <c r="H1166" s="467">
        <v>1</v>
      </c>
    </row>
    <row r="1167" spans="1:8" hidden="1">
      <c r="A1167" s="575" t="s">
        <v>1182</v>
      </c>
      <c r="B1167" s="560"/>
      <c r="C1167" s="494" t="s">
        <v>3599</v>
      </c>
      <c r="D1167" s="495" t="s">
        <v>281</v>
      </c>
      <c r="E1167" s="466" t="str">
        <f t="shared" si="18"/>
        <v>GI</v>
      </c>
      <c r="F1167" s="467">
        <v>50</v>
      </c>
      <c r="G1167" s="467" t="s">
        <v>28</v>
      </c>
      <c r="H1167" s="467">
        <v>0</v>
      </c>
    </row>
    <row r="1168" spans="1:8" hidden="1">
      <c r="A1168" s="575" t="s">
        <v>3600</v>
      </c>
      <c r="B1168" s="560"/>
      <c r="C1168" s="494" t="s">
        <v>3601</v>
      </c>
      <c r="D1168" s="495" t="s">
        <v>281</v>
      </c>
      <c r="E1168" s="466" t="str">
        <f t="shared" si="18"/>
        <v>GI</v>
      </c>
      <c r="F1168" s="467">
        <v>50</v>
      </c>
      <c r="G1168" s="467" t="s">
        <v>28</v>
      </c>
      <c r="H1168" s="467" t="e">
        <v>#N/A</v>
      </c>
    </row>
    <row r="1169" spans="1:8" hidden="1">
      <c r="A1169" s="575" t="s">
        <v>1176</v>
      </c>
      <c r="B1169" s="560"/>
      <c r="C1169" s="494" t="s">
        <v>3602</v>
      </c>
      <c r="D1169" s="495" t="s">
        <v>281</v>
      </c>
      <c r="E1169" s="466" t="str">
        <f t="shared" si="18"/>
        <v>GI</v>
      </c>
      <c r="F1169" s="467">
        <v>50</v>
      </c>
      <c r="G1169" s="467" t="s">
        <v>28</v>
      </c>
      <c r="H1169" s="467">
        <v>0</v>
      </c>
    </row>
    <row r="1170" spans="1:8" hidden="1">
      <c r="A1170" s="576" t="s">
        <v>3603</v>
      </c>
      <c r="B1170" s="560"/>
      <c r="C1170" s="494" t="s">
        <v>3604</v>
      </c>
      <c r="D1170" s="495" t="s">
        <v>281</v>
      </c>
      <c r="E1170" s="466" t="str">
        <f t="shared" si="18"/>
        <v>GI</v>
      </c>
      <c r="F1170" s="467">
        <v>50</v>
      </c>
      <c r="G1170" s="467" t="s">
        <v>28</v>
      </c>
      <c r="H1170" s="467" t="e">
        <v>#N/A</v>
      </c>
    </row>
    <row r="1171" spans="1:8" hidden="1">
      <c r="A1171" s="576" t="s">
        <v>1184</v>
      </c>
      <c r="B1171" s="560"/>
      <c r="C1171" s="494" t="s">
        <v>3605</v>
      </c>
      <c r="D1171" s="495" t="s">
        <v>281</v>
      </c>
      <c r="E1171" s="466" t="str">
        <f t="shared" si="18"/>
        <v>GI</v>
      </c>
      <c r="F1171" s="467">
        <v>50</v>
      </c>
      <c r="G1171" s="467" t="s">
        <v>28</v>
      </c>
      <c r="H1171" s="467">
        <v>0</v>
      </c>
    </row>
    <row r="1172" spans="1:8" hidden="1">
      <c r="A1172" s="576" t="s">
        <v>3606</v>
      </c>
      <c r="B1172" s="560"/>
      <c r="C1172" s="494" t="s">
        <v>3607</v>
      </c>
      <c r="D1172" s="495" t="s">
        <v>281</v>
      </c>
      <c r="E1172" s="466" t="str">
        <f t="shared" si="18"/>
        <v>GI</v>
      </c>
      <c r="F1172" s="467">
        <v>50</v>
      </c>
      <c r="G1172" s="467" t="s">
        <v>28</v>
      </c>
      <c r="H1172" s="467" t="e">
        <v>#N/A</v>
      </c>
    </row>
    <row r="1173" spans="1:8" hidden="1">
      <c r="A1173" s="576" t="s">
        <v>1266</v>
      </c>
      <c r="B1173" s="560"/>
      <c r="C1173" s="494" t="s">
        <v>3608</v>
      </c>
      <c r="D1173" s="495" t="s">
        <v>281</v>
      </c>
      <c r="E1173" s="466" t="str">
        <f t="shared" ref="E1173:E1236" si="19">LEFT(A1173,2)</f>
        <v>GI</v>
      </c>
      <c r="F1173" s="467">
        <v>50</v>
      </c>
      <c r="G1173" s="467" t="s">
        <v>28</v>
      </c>
      <c r="H1173" s="467">
        <v>0</v>
      </c>
    </row>
    <row r="1174" spans="1:8" hidden="1">
      <c r="A1174" s="575" t="s">
        <v>1178</v>
      </c>
      <c r="B1174" s="560"/>
      <c r="C1174" s="494" t="s">
        <v>3609</v>
      </c>
      <c r="D1174" s="495" t="s">
        <v>281</v>
      </c>
      <c r="E1174" s="466" t="str">
        <f t="shared" si="19"/>
        <v>GI</v>
      </c>
      <c r="F1174" s="467">
        <v>50</v>
      </c>
      <c r="G1174" s="467" t="s">
        <v>28</v>
      </c>
      <c r="H1174" s="467">
        <v>0</v>
      </c>
    </row>
    <row r="1175" spans="1:8" hidden="1">
      <c r="A1175" s="576" t="s">
        <v>1179</v>
      </c>
      <c r="B1175" s="560"/>
      <c r="C1175" s="494" t="s">
        <v>3610</v>
      </c>
      <c r="D1175" s="495" t="s">
        <v>281</v>
      </c>
      <c r="E1175" s="466" t="str">
        <f t="shared" si="19"/>
        <v>GI</v>
      </c>
      <c r="F1175" s="467">
        <v>50</v>
      </c>
      <c r="G1175" s="467" t="s">
        <v>28</v>
      </c>
      <c r="H1175" s="467">
        <v>0</v>
      </c>
    </row>
    <row r="1176" spans="1:8" hidden="1">
      <c r="A1176" s="575" t="s">
        <v>3611</v>
      </c>
      <c r="B1176" s="560"/>
      <c r="C1176" s="494" t="s">
        <v>3612</v>
      </c>
      <c r="D1176" s="495" t="s">
        <v>281</v>
      </c>
      <c r="E1176" s="466" t="str">
        <f t="shared" si="19"/>
        <v>GI</v>
      </c>
      <c r="F1176" s="467">
        <v>50</v>
      </c>
      <c r="G1176" s="467" t="s">
        <v>28</v>
      </c>
      <c r="H1176" s="467" t="e">
        <v>#N/A</v>
      </c>
    </row>
    <row r="1177" spans="1:8" hidden="1">
      <c r="A1177" s="575" t="s">
        <v>1180</v>
      </c>
      <c r="B1177" s="560"/>
      <c r="C1177" s="494" t="s">
        <v>3613</v>
      </c>
      <c r="D1177" s="495" t="s">
        <v>281</v>
      </c>
      <c r="E1177" s="466" t="str">
        <f t="shared" si="19"/>
        <v>GI</v>
      </c>
      <c r="F1177" s="467">
        <v>50</v>
      </c>
      <c r="G1177" s="467" t="s">
        <v>28</v>
      </c>
      <c r="H1177" s="467">
        <v>0</v>
      </c>
    </row>
    <row r="1178" spans="1:8" hidden="1">
      <c r="A1178" s="575" t="s">
        <v>1183</v>
      </c>
      <c r="B1178" s="560"/>
      <c r="C1178" s="494" t="s">
        <v>3614</v>
      </c>
      <c r="D1178" s="495" t="s">
        <v>281</v>
      </c>
      <c r="E1178" s="466" t="str">
        <f t="shared" si="19"/>
        <v>GI</v>
      </c>
      <c r="F1178" s="467">
        <v>50</v>
      </c>
      <c r="G1178" s="467" t="s">
        <v>28</v>
      </c>
      <c r="H1178" s="467">
        <v>0</v>
      </c>
    </row>
    <row r="1179" spans="1:8" ht="14.25" hidden="1" customHeight="1">
      <c r="A1179" s="576" t="s">
        <v>3615</v>
      </c>
      <c r="B1179" s="560"/>
      <c r="C1179" s="494" t="s">
        <v>3616</v>
      </c>
      <c r="D1179" s="495" t="s">
        <v>281</v>
      </c>
      <c r="E1179" s="466" t="str">
        <f t="shared" si="19"/>
        <v>GI</v>
      </c>
      <c r="F1179" s="467">
        <v>50</v>
      </c>
      <c r="G1179" s="467" t="s">
        <v>28</v>
      </c>
      <c r="H1179" s="467" t="e">
        <v>#N/A</v>
      </c>
    </row>
    <row r="1180" spans="1:8" ht="14.25" hidden="1" customHeight="1">
      <c r="A1180" s="576" t="s">
        <v>1181</v>
      </c>
      <c r="B1180" s="560"/>
      <c r="C1180" s="494" t="s">
        <v>3617</v>
      </c>
      <c r="D1180" s="495" t="s">
        <v>281</v>
      </c>
      <c r="E1180" s="466" t="str">
        <f t="shared" si="19"/>
        <v>GI</v>
      </c>
      <c r="F1180" s="467">
        <v>50</v>
      </c>
      <c r="G1180" s="467" t="s">
        <v>28</v>
      </c>
      <c r="H1180" s="467">
        <v>0</v>
      </c>
    </row>
    <row r="1181" spans="1:8" hidden="1">
      <c r="A1181" s="577" t="s">
        <v>3618</v>
      </c>
      <c r="B1181" s="483" t="s">
        <v>3619</v>
      </c>
      <c r="C1181" s="479" t="s">
        <v>3620</v>
      </c>
      <c r="D1181" s="481" t="s">
        <v>2633</v>
      </c>
      <c r="E1181" s="466" t="str">
        <f t="shared" si="19"/>
        <v>KQ</v>
      </c>
      <c r="F1181" s="467">
        <v>50</v>
      </c>
      <c r="H1181" s="467" t="e">
        <v>#N/A</v>
      </c>
    </row>
    <row r="1182" spans="1:8" hidden="1">
      <c r="A1182" s="577" t="s">
        <v>3621</v>
      </c>
      <c r="B1182" s="483" t="s">
        <v>3622</v>
      </c>
      <c r="C1182" s="479" t="s">
        <v>3623</v>
      </c>
      <c r="D1182" s="481" t="s">
        <v>2633</v>
      </c>
      <c r="E1182" s="466" t="str">
        <f t="shared" si="19"/>
        <v>KQ</v>
      </c>
      <c r="F1182" s="467">
        <v>50</v>
      </c>
      <c r="H1182" s="467" t="e">
        <v>#N/A</v>
      </c>
    </row>
    <row r="1183" spans="1:8" hidden="1">
      <c r="A1183" s="577" t="s">
        <v>3624</v>
      </c>
      <c r="B1183" s="483" t="s">
        <v>3625</v>
      </c>
      <c r="C1183" s="479" t="s">
        <v>3626</v>
      </c>
      <c r="D1183" s="481" t="s">
        <v>2633</v>
      </c>
      <c r="E1183" s="466" t="str">
        <f t="shared" si="19"/>
        <v>KQ</v>
      </c>
      <c r="F1183" s="467">
        <v>50</v>
      </c>
      <c r="H1183" s="467" t="e">
        <v>#N/A</v>
      </c>
    </row>
    <row r="1184" spans="1:8" hidden="1">
      <c r="A1184" s="577" t="s">
        <v>3627</v>
      </c>
      <c r="B1184" s="483" t="s">
        <v>3625</v>
      </c>
      <c r="C1184" s="479" t="s">
        <v>3628</v>
      </c>
      <c r="D1184" s="481" t="s">
        <v>2633</v>
      </c>
      <c r="E1184" s="466" t="str">
        <f t="shared" si="19"/>
        <v>KQ</v>
      </c>
      <c r="F1184" s="467">
        <v>50</v>
      </c>
      <c r="H1184" s="467" t="e">
        <v>#N/A</v>
      </c>
    </row>
    <row r="1185" spans="1:8" hidden="1">
      <c r="A1185" s="577" t="s">
        <v>3629</v>
      </c>
      <c r="B1185" s="483" t="s">
        <v>3625</v>
      </c>
      <c r="C1185" s="479" t="s">
        <v>3630</v>
      </c>
      <c r="D1185" s="481" t="s">
        <v>2633</v>
      </c>
      <c r="E1185" s="466" t="str">
        <f t="shared" si="19"/>
        <v>KQ</v>
      </c>
      <c r="F1185" s="467">
        <v>50</v>
      </c>
      <c r="H1185" s="467" t="e">
        <v>#N/A</v>
      </c>
    </row>
    <row r="1186" spans="1:8" hidden="1">
      <c r="A1186" s="577" t="s">
        <v>3631</v>
      </c>
      <c r="B1186" s="483" t="s">
        <v>3625</v>
      </c>
      <c r="C1186" s="479" t="s">
        <v>3632</v>
      </c>
      <c r="D1186" s="481" t="s">
        <v>2633</v>
      </c>
      <c r="E1186" s="466" t="str">
        <f t="shared" si="19"/>
        <v>KT</v>
      </c>
      <c r="F1186" s="467">
        <v>50</v>
      </c>
      <c r="H1186" s="467" t="e">
        <v>#N/A</v>
      </c>
    </row>
    <row r="1187" spans="1:8" hidden="1">
      <c r="A1187" s="577" t="s">
        <v>3633</v>
      </c>
      <c r="B1187" s="483" t="s">
        <v>3625</v>
      </c>
      <c r="C1187" s="479" t="s">
        <v>3634</v>
      </c>
      <c r="D1187" s="481" t="s">
        <v>2633</v>
      </c>
      <c r="E1187" s="466" t="str">
        <f t="shared" si="19"/>
        <v>KD</v>
      </c>
      <c r="F1187" s="467">
        <v>50</v>
      </c>
      <c r="H1187" s="467" t="e">
        <v>#N/A</v>
      </c>
    </row>
    <row r="1188" spans="1:8" hidden="1">
      <c r="A1188" s="469" t="s">
        <v>3635</v>
      </c>
      <c r="B1188" s="561"/>
      <c r="C1188" s="536" t="s">
        <v>3636</v>
      </c>
      <c r="D1188" s="471" t="s">
        <v>281</v>
      </c>
      <c r="E1188" s="466" t="str">
        <f t="shared" si="19"/>
        <v>Di</v>
      </c>
      <c r="F1188" s="467">
        <v>50</v>
      </c>
      <c r="G1188" s="467" t="s">
        <v>28</v>
      </c>
      <c r="H1188" s="467" t="e">
        <v>#N/A</v>
      </c>
    </row>
    <row r="1189" spans="1:8" hidden="1">
      <c r="A1189" s="469" t="s">
        <v>3637</v>
      </c>
      <c r="B1189" s="561"/>
      <c r="C1189" s="536" t="s">
        <v>3638</v>
      </c>
      <c r="D1189" s="471" t="s">
        <v>281</v>
      </c>
      <c r="E1189" s="466" t="str">
        <f t="shared" si="19"/>
        <v>De</v>
      </c>
      <c r="F1189" s="467">
        <v>50</v>
      </c>
      <c r="G1189" s="467" t="s">
        <v>28</v>
      </c>
      <c r="H1189" s="467" t="e">
        <v>#N/A</v>
      </c>
    </row>
    <row r="1190" spans="1:8" hidden="1">
      <c r="A1190" s="539" t="s">
        <v>3639</v>
      </c>
      <c r="E1190" s="466" t="str">
        <f t="shared" si="19"/>
        <v>Đơ</v>
      </c>
      <c r="F1190" s="467">
        <v>50</v>
      </c>
      <c r="G1190" s="467" t="s">
        <v>28</v>
      </c>
      <c r="H1190" s="467" t="e">
        <v>#N/A</v>
      </c>
    </row>
    <row r="1191" spans="1:8" hidden="1">
      <c r="A1191" s="469" t="s">
        <v>3640</v>
      </c>
      <c r="B1191" s="470" t="s">
        <v>3641</v>
      </c>
      <c r="C1191" s="469" t="s">
        <v>3642</v>
      </c>
      <c r="D1191" s="471" t="s">
        <v>281</v>
      </c>
      <c r="E1191" s="466" t="str">
        <f t="shared" si="19"/>
        <v>TU</v>
      </c>
      <c r="F1191" s="467">
        <v>50</v>
      </c>
      <c r="G1191" s="467" t="s">
        <v>28</v>
      </c>
      <c r="H1191" s="467">
        <v>0</v>
      </c>
    </row>
    <row r="1192" spans="1:8" hidden="1">
      <c r="A1192" s="469" t="s">
        <v>655</v>
      </c>
      <c r="B1192" s="485"/>
      <c r="C1192" s="536" t="s">
        <v>3643</v>
      </c>
      <c r="D1192" s="471" t="s">
        <v>408</v>
      </c>
      <c r="E1192" s="466" t="str">
        <f t="shared" si="19"/>
        <v>TR</v>
      </c>
      <c r="F1192" s="467">
        <v>2</v>
      </c>
      <c r="G1192" s="467" t="s">
        <v>28</v>
      </c>
      <c r="H1192" s="467">
        <v>1</v>
      </c>
    </row>
    <row r="1193" spans="1:8" hidden="1">
      <c r="A1193" s="469" t="s">
        <v>3644</v>
      </c>
      <c r="B1193" s="485"/>
      <c r="C1193" s="536" t="s">
        <v>3645</v>
      </c>
      <c r="D1193" s="471" t="s">
        <v>408</v>
      </c>
      <c r="E1193" s="466" t="str">
        <f t="shared" si="19"/>
        <v>TR</v>
      </c>
      <c r="F1193" s="467">
        <v>2</v>
      </c>
      <c r="G1193" s="467" t="s">
        <v>28</v>
      </c>
      <c r="H1193" s="467" t="e">
        <v>#N/A</v>
      </c>
    </row>
    <row r="1194" spans="1:8">
      <c r="A1194" s="469" t="s">
        <v>3646</v>
      </c>
      <c r="B1194" s="485" t="s">
        <v>1395</v>
      </c>
      <c r="C1194" s="536" t="s">
        <v>3647</v>
      </c>
      <c r="D1194" s="471" t="s">
        <v>281</v>
      </c>
      <c r="E1194" s="466" t="str">
        <f t="shared" si="19"/>
        <v>D1</v>
      </c>
      <c r="F1194" s="467">
        <v>50</v>
      </c>
      <c r="G1194" s="467" t="s">
        <v>28</v>
      </c>
      <c r="H1194" s="467" t="e">
        <v>#N/A</v>
      </c>
    </row>
    <row r="1195" spans="1:8" ht="32.25" customHeight="1">
      <c r="A1195" s="469" t="s">
        <v>3648</v>
      </c>
      <c r="B1195" s="485"/>
      <c r="C1195" s="536" t="s">
        <v>3649</v>
      </c>
      <c r="D1195" s="471" t="s">
        <v>3650</v>
      </c>
      <c r="E1195" s="466" t="str">
        <f t="shared" si="19"/>
        <v>CD</v>
      </c>
      <c r="F1195" s="467">
        <v>50</v>
      </c>
      <c r="G1195" s="467" t="s">
        <v>28</v>
      </c>
      <c r="H1195" s="467" t="e">
        <v>#N/A</v>
      </c>
    </row>
    <row r="1196" spans="1:8" ht="32.25" customHeight="1">
      <c r="A1196" s="469" t="s">
        <v>1259</v>
      </c>
      <c r="B1196" s="485"/>
      <c r="C1196" s="536" t="s">
        <v>3651</v>
      </c>
      <c r="D1196" s="471" t="s">
        <v>3650</v>
      </c>
      <c r="E1196" s="466" t="str">
        <f t="shared" si="19"/>
        <v>CD</v>
      </c>
      <c r="F1196" s="467">
        <v>50</v>
      </c>
      <c r="G1196" s="467" t="s">
        <v>28</v>
      </c>
      <c r="H1196" s="467">
        <v>0</v>
      </c>
    </row>
    <row r="1197" spans="1:8" ht="32.25" hidden="1" customHeight="1">
      <c r="A1197" s="469" t="s">
        <v>3652</v>
      </c>
      <c r="B1197" s="485"/>
      <c r="C1197" s="536" t="s">
        <v>3653</v>
      </c>
      <c r="D1197" s="471" t="s">
        <v>3650</v>
      </c>
      <c r="E1197" s="466" t="str">
        <f t="shared" si="19"/>
        <v>CD</v>
      </c>
      <c r="F1197" s="467">
        <v>50</v>
      </c>
      <c r="G1197" s="467" t="s">
        <v>28</v>
      </c>
      <c r="H1197" s="467">
        <v>0</v>
      </c>
    </row>
    <row r="1198" spans="1:8" ht="30.75" hidden="1" customHeight="1">
      <c r="A1198" s="469" t="s">
        <v>1260</v>
      </c>
      <c r="B1198" s="485"/>
      <c r="C1198" s="536" t="s">
        <v>3654</v>
      </c>
      <c r="D1198" s="471" t="s">
        <v>3650</v>
      </c>
      <c r="E1198" s="466" t="str">
        <f t="shared" si="19"/>
        <v>CD</v>
      </c>
      <c r="F1198" s="467">
        <v>50</v>
      </c>
      <c r="G1198" s="467" t="s">
        <v>28</v>
      </c>
      <c r="H1198" s="467">
        <v>0</v>
      </c>
    </row>
    <row r="1199" spans="1:8" ht="32.25" hidden="1" customHeight="1">
      <c r="A1199" s="469" t="s">
        <v>3655</v>
      </c>
      <c r="B1199" s="485"/>
      <c r="C1199" s="536" t="s">
        <v>3656</v>
      </c>
      <c r="D1199" s="471" t="s">
        <v>3650</v>
      </c>
      <c r="E1199" s="466" t="str">
        <f t="shared" si="19"/>
        <v>CD</v>
      </c>
      <c r="F1199" s="467">
        <v>50</v>
      </c>
      <c r="G1199" s="467" t="s">
        <v>28</v>
      </c>
      <c r="H1199" s="467" t="e">
        <v>#N/A</v>
      </c>
    </row>
    <row r="1200" spans="1:8" hidden="1">
      <c r="A1200" s="469" t="s">
        <v>3657</v>
      </c>
      <c r="B1200" s="485"/>
      <c r="C1200" s="536" t="s">
        <v>3658</v>
      </c>
      <c r="D1200" s="471" t="s">
        <v>3650</v>
      </c>
      <c r="E1200" s="466" t="str">
        <f t="shared" si="19"/>
        <v>CD</v>
      </c>
      <c r="F1200" s="467">
        <v>50</v>
      </c>
      <c r="G1200" s="467" t="s">
        <v>28</v>
      </c>
      <c r="H1200" s="467" t="e">
        <v>#N/A</v>
      </c>
    </row>
    <row r="1201" spans="1:8" hidden="1">
      <c r="A1201" s="469" t="s">
        <v>1262</v>
      </c>
      <c r="B1201" s="561"/>
      <c r="C1201" s="536" t="s">
        <v>3659</v>
      </c>
      <c r="D1201" s="471" t="s">
        <v>775</v>
      </c>
      <c r="E1201" s="466" t="str">
        <f t="shared" si="19"/>
        <v>DE</v>
      </c>
      <c r="F1201" s="467">
        <v>50</v>
      </c>
      <c r="G1201" s="467" t="s">
        <v>28</v>
      </c>
      <c r="H1201" s="467">
        <v>0</v>
      </c>
    </row>
    <row r="1202" spans="1:8" hidden="1">
      <c r="A1202" s="469" t="s">
        <v>3660</v>
      </c>
      <c r="B1202" s="561"/>
      <c r="C1202" s="536" t="s">
        <v>3661</v>
      </c>
      <c r="D1202" s="471" t="s">
        <v>775</v>
      </c>
      <c r="E1202" s="466" t="str">
        <f t="shared" si="19"/>
        <v>DE</v>
      </c>
      <c r="F1202" s="467">
        <v>50</v>
      </c>
      <c r="G1202" s="467" t="s">
        <v>28</v>
      </c>
      <c r="H1202" s="467" t="e">
        <v>#N/A</v>
      </c>
    </row>
    <row r="1203" spans="1:8" hidden="1">
      <c r="A1203" s="469" t="s">
        <v>1269</v>
      </c>
      <c r="B1203" s="485"/>
      <c r="C1203" s="536" t="s">
        <v>3662</v>
      </c>
      <c r="D1203" s="471" t="s">
        <v>281</v>
      </c>
      <c r="E1203" s="466" t="str">
        <f t="shared" si="19"/>
        <v>CH</v>
      </c>
      <c r="F1203" s="467">
        <v>50</v>
      </c>
      <c r="G1203" s="467" t="s">
        <v>28</v>
      </c>
      <c r="H1203" s="467">
        <v>0</v>
      </c>
    </row>
    <row r="1204" spans="1:8" hidden="1">
      <c r="A1204" s="469" t="s">
        <v>3663</v>
      </c>
      <c r="B1204" s="561"/>
      <c r="C1204" s="536" t="s">
        <v>3664</v>
      </c>
      <c r="D1204" s="471" t="s">
        <v>281</v>
      </c>
      <c r="E1204" s="466" t="str">
        <f t="shared" si="19"/>
        <v>DO</v>
      </c>
      <c r="F1204" s="467">
        <v>50</v>
      </c>
      <c r="G1204" s="467" t="s">
        <v>28</v>
      </c>
      <c r="H1204" s="467" t="e">
        <v>#N/A</v>
      </c>
    </row>
    <row r="1205" spans="1:8" hidden="1">
      <c r="A1205" s="578"/>
      <c r="B1205" s="579"/>
      <c r="C1205" s="578"/>
      <c r="D1205" s="580"/>
      <c r="E1205" s="466" t="str">
        <f t="shared" si="19"/>
        <v/>
      </c>
      <c r="F1205" s="467">
        <v>50</v>
      </c>
      <c r="H1205" s="467">
        <v>0</v>
      </c>
    </row>
    <row r="1206" spans="1:8" s="478" customFormat="1" hidden="1">
      <c r="A1206" s="581" t="s">
        <v>3665</v>
      </c>
      <c r="B1206" s="582" t="s">
        <v>3666</v>
      </c>
      <c r="C1206" s="581" t="s">
        <v>3667</v>
      </c>
      <c r="D1206" s="583" t="s">
        <v>281</v>
      </c>
      <c r="E1206" s="466" t="str">
        <f t="shared" si="19"/>
        <v>LC</v>
      </c>
      <c r="F1206" s="467">
        <v>2000</v>
      </c>
      <c r="H1206" s="467">
        <v>0</v>
      </c>
    </row>
    <row r="1207" spans="1:8" s="478" customFormat="1" hidden="1">
      <c r="A1207" s="469" t="s">
        <v>3668</v>
      </c>
      <c r="B1207" s="470" t="s">
        <v>3669</v>
      </c>
      <c r="C1207" s="469" t="s">
        <v>3670</v>
      </c>
      <c r="D1207" s="471" t="s">
        <v>3650</v>
      </c>
      <c r="E1207" s="466" t="str">
        <f t="shared" si="19"/>
        <v>LC</v>
      </c>
      <c r="F1207" s="467">
        <v>2000</v>
      </c>
      <c r="H1207" s="467" t="e">
        <v>#N/A</v>
      </c>
    </row>
    <row r="1208" spans="1:8" s="478" customFormat="1">
      <c r="A1208" s="469" t="s">
        <v>3671</v>
      </c>
      <c r="B1208" s="470" t="s">
        <v>3672</v>
      </c>
      <c r="C1208" s="469" t="s">
        <v>3673</v>
      </c>
      <c r="D1208" s="471" t="s">
        <v>3650</v>
      </c>
      <c r="E1208" s="466" t="str">
        <f t="shared" si="19"/>
        <v>LC</v>
      </c>
      <c r="F1208" s="467">
        <v>2000</v>
      </c>
      <c r="H1208" s="467" t="e">
        <v>#N/A</v>
      </c>
    </row>
    <row r="1209" spans="1:8" s="478" customFormat="1" hidden="1">
      <c r="A1209" s="469" t="s">
        <v>3674</v>
      </c>
      <c r="B1209" s="470" t="s">
        <v>3675</v>
      </c>
      <c r="C1209" s="469" t="s">
        <v>3676</v>
      </c>
      <c r="D1209" s="471" t="s">
        <v>411</v>
      </c>
      <c r="E1209" s="466" t="str">
        <f t="shared" si="19"/>
        <v>LT</v>
      </c>
      <c r="F1209" s="467">
        <v>2000</v>
      </c>
      <c r="H1209" s="467" t="e">
        <v>#N/A</v>
      </c>
    </row>
    <row r="1210" spans="1:8" s="478" customFormat="1">
      <c r="A1210" s="469" t="s">
        <v>1285</v>
      </c>
      <c r="B1210" s="470" t="s">
        <v>3677</v>
      </c>
      <c r="C1210" s="469" t="s">
        <v>3678</v>
      </c>
      <c r="D1210" s="471" t="s">
        <v>775</v>
      </c>
      <c r="E1210" s="466" t="str">
        <f t="shared" si="19"/>
        <v>LD</v>
      </c>
      <c r="F1210" s="467">
        <v>2000</v>
      </c>
      <c r="H1210" s="467">
        <v>0</v>
      </c>
    </row>
    <row r="1211" spans="1:8" s="478" customFormat="1" hidden="1">
      <c r="A1211" s="469" t="s">
        <v>3679</v>
      </c>
      <c r="B1211" s="470" t="s">
        <v>3680</v>
      </c>
      <c r="C1211" s="536" t="s">
        <v>3681</v>
      </c>
      <c r="D1211" s="471" t="s">
        <v>408</v>
      </c>
      <c r="E1211" s="466" t="str">
        <f t="shared" si="19"/>
        <v>LT</v>
      </c>
      <c r="F1211" s="467">
        <v>2000</v>
      </c>
      <c r="H1211" s="467">
        <v>1</v>
      </c>
    </row>
    <row r="1212" spans="1:8" s="478" customFormat="1" hidden="1">
      <c r="A1212" s="469" t="s">
        <v>3682</v>
      </c>
      <c r="B1212" s="470" t="s">
        <v>3683</v>
      </c>
      <c r="C1212" s="536" t="s">
        <v>3684</v>
      </c>
      <c r="D1212" s="471" t="s">
        <v>408</v>
      </c>
      <c r="E1212" s="466" t="str">
        <f t="shared" si="19"/>
        <v>LB</v>
      </c>
      <c r="F1212" s="467">
        <v>2000</v>
      </c>
      <c r="H1212" s="467" t="e">
        <v>#N/A</v>
      </c>
    </row>
    <row r="1213" spans="1:8" s="478" customFormat="1" hidden="1">
      <c r="A1213" s="469" t="s">
        <v>1286</v>
      </c>
      <c r="B1213" s="470" t="s">
        <v>3685</v>
      </c>
      <c r="C1213" s="536" t="s">
        <v>3686</v>
      </c>
      <c r="D1213" s="471" t="s">
        <v>411</v>
      </c>
      <c r="E1213" s="466" t="str">
        <f t="shared" si="19"/>
        <v>LU</v>
      </c>
      <c r="F1213" s="467">
        <v>2000</v>
      </c>
      <c r="H1213" s="467">
        <v>0</v>
      </c>
    </row>
    <row r="1214" spans="1:8" s="478" customFormat="1" hidden="1">
      <c r="A1214" s="469" t="s">
        <v>1282</v>
      </c>
      <c r="B1214" s="470" t="s">
        <v>3687</v>
      </c>
      <c r="C1214" s="536" t="s">
        <v>3688</v>
      </c>
      <c r="D1214" s="471" t="s">
        <v>411</v>
      </c>
      <c r="E1214" s="466" t="str">
        <f t="shared" si="19"/>
        <v>KC</v>
      </c>
      <c r="F1214" s="467">
        <v>2000</v>
      </c>
      <c r="H1214" s="467">
        <v>0</v>
      </c>
    </row>
    <row r="1215" spans="1:8" s="478" customFormat="1" hidden="1">
      <c r="A1215" s="469" t="s">
        <v>3689</v>
      </c>
      <c r="B1215" s="470" t="s">
        <v>3690</v>
      </c>
      <c r="C1215" s="536" t="s">
        <v>3691</v>
      </c>
      <c r="D1215" s="471" t="s">
        <v>411</v>
      </c>
      <c r="E1215" s="466" t="str">
        <f t="shared" si="19"/>
        <v>KC</v>
      </c>
      <c r="F1215" s="467">
        <v>2000</v>
      </c>
      <c r="H1215" s="467" t="e">
        <v>#N/A</v>
      </c>
    </row>
    <row r="1216" spans="1:8" s="478" customFormat="1" hidden="1">
      <c r="A1216" s="469" t="s">
        <v>3692</v>
      </c>
      <c r="B1216" s="470" t="s">
        <v>3693</v>
      </c>
      <c r="C1216" s="536" t="s">
        <v>3694</v>
      </c>
      <c r="D1216" s="471" t="s">
        <v>411</v>
      </c>
      <c r="E1216" s="466" t="str">
        <f t="shared" si="19"/>
        <v>LC</v>
      </c>
      <c r="F1216" s="467">
        <v>2000</v>
      </c>
      <c r="H1216" s="467" t="e">
        <v>#N/A</v>
      </c>
    </row>
    <row r="1217" spans="1:8" s="478" customFormat="1" hidden="1">
      <c r="A1217" s="469" t="s">
        <v>1283</v>
      </c>
      <c r="B1217" s="470" t="s">
        <v>3695</v>
      </c>
      <c r="C1217" s="536" t="s">
        <v>3696</v>
      </c>
      <c r="D1217" s="471" t="s">
        <v>775</v>
      </c>
      <c r="E1217" s="466" t="str">
        <f t="shared" si="19"/>
        <v>LD</v>
      </c>
      <c r="F1217" s="467">
        <v>2000</v>
      </c>
      <c r="H1217" s="467">
        <v>0</v>
      </c>
    </row>
    <row r="1218" spans="1:8" s="478" customFormat="1" hidden="1">
      <c r="A1218" s="469" t="s">
        <v>3697</v>
      </c>
      <c r="B1218" s="470" t="s">
        <v>3698</v>
      </c>
      <c r="C1218" s="536" t="s">
        <v>3699</v>
      </c>
      <c r="D1218" s="471" t="s">
        <v>281</v>
      </c>
      <c r="E1218" s="466" t="str">
        <f t="shared" si="19"/>
        <v>Lc</v>
      </c>
      <c r="F1218" s="467">
        <v>2000</v>
      </c>
      <c r="H1218" s="467">
        <v>0</v>
      </c>
    </row>
    <row r="1219" spans="1:8" s="478" customFormat="1" hidden="1">
      <c r="A1219" s="469" t="s">
        <v>1280</v>
      </c>
      <c r="B1219" s="470" t="s">
        <v>2741</v>
      </c>
      <c r="C1219" s="536" t="s">
        <v>3700</v>
      </c>
      <c r="D1219" s="471" t="s">
        <v>411</v>
      </c>
      <c r="E1219" s="466" t="str">
        <f t="shared" si="19"/>
        <v>LP</v>
      </c>
      <c r="F1219" s="467">
        <v>2000</v>
      </c>
      <c r="H1219" s="467">
        <v>0</v>
      </c>
    </row>
    <row r="1220" spans="1:8" s="478" customFormat="1" hidden="1">
      <c r="A1220" s="469" t="s">
        <v>3701</v>
      </c>
      <c r="B1220" s="470" t="s">
        <v>3702</v>
      </c>
      <c r="C1220" s="536" t="s">
        <v>3703</v>
      </c>
      <c r="D1220" s="471" t="s">
        <v>411</v>
      </c>
      <c r="E1220" s="466" t="str">
        <f t="shared" si="19"/>
        <v>LP</v>
      </c>
      <c r="F1220" s="467">
        <v>2000</v>
      </c>
      <c r="H1220" s="467" t="e">
        <v>#N/A</v>
      </c>
    </row>
    <row r="1221" spans="1:8" s="478" customFormat="1" hidden="1">
      <c r="A1221" s="469" t="s">
        <v>1281</v>
      </c>
      <c r="B1221" s="470" t="s">
        <v>2732</v>
      </c>
      <c r="C1221" s="536" t="s">
        <v>3704</v>
      </c>
      <c r="D1221" s="471" t="s">
        <v>411</v>
      </c>
      <c r="E1221" s="466" t="str">
        <f t="shared" si="19"/>
        <v>LS</v>
      </c>
      <c r="F1221" s="467">
        <v>2000</v>
      </c>
      <c r="H1221" s="467">
        <v>0</v>
      </c>
    </row>
    <row r="1222" spans="1:8" s="478" customFormat="1" hidden="1">
      <c r="A1222" s="469" t="s">
        <v>3705</v>
      </c>
      <c r="B1222" s="470" t="s">
        <v>2262</v>
      </c>
      <c r="C1222" s="536" t="s">
        <v>3706</v>
      </c>
      <c r="D1222" s="471" t="s">
        <v>2113</v>
      </c>
      <c r="E1222" s="466" t="str">
        <f t="shared" si="19"/>
        <v>LG</v>
      </c>
      <c r="F1222" s="467">
        <v>2000</v>
      </c>
      <c r="H1222" s="467" t="e">
        <v>#N/A</v>
      </c>
    </row>
    <row r="1223" spans="1:8" s="478" customFormat="1" hidden="1">
      <c r="A1223" s="469" t="s">
        <v>3707</v>
      </c>
      <c r="B1223" s="470" t="s">
        <v>3708</v>
      </c>
      <c r="C1223" s="536" t="s">
        <v>3709</v>
      </c>
      <c r="D1223" s="471" t="s">
        <v>1808</v>
      </c>
      <c r="E1223" s="466" t="str">
        <f t="shared" si="19"/>
        <v>DM</v>
      </c>
      <c r="F1223" s="467">
        <v>2000</v>
      </c>
      <c r="H1223" s="467" t="e">
        <v>#N/A</v>
      </c>
    </row>
    <row r="1224" spans="1:8" s="478" customFormat="1" hidden="1">
      <c r="A1224" s="469" t="s">
        <v>3710</v>
      </c>
      <c r="B1224" s="470" t="s">
        <v>3711</v>
      </c>
      <c r="C1224" s="536" t="s">
        <v>3712</v>
      </c>
      <c r="D1224" s="471" t="s">
        <v>1808</v>
      </c>
      <c r="E1224" s="466" t="str">
        <f t="shared" si="19"/>
        <v>DD</v>
      </c>
      <c r="F1224" s="467">
        <v>2000</v>
      </c>
      <c r="H1224" s="467" t="e">
        <v>#N/A</v>
      </c>
    </row>
    <row r="1225" spans="1:8" s="478" customFormat="1" hidden="1">
      <c r="A1225" s="469" t="s">
        <v>3713</v>
      </c>
      <c r="B1225" s="470" t="s">
        <v>3714</v>
      </c>
      <c r="C1225" s="536" t="s">
        <v>3715</v>
      </c>
      <c r="D1225" s="471" t="s">
        <v>1808</v>
      </c>
      <c r="E1225" s="466" t="str">
        <f t="shared" si="19"/>
        <v>DC</v>
      </c>
      <c r="F1225" s="467">
        <v>2000</v>
      </c>
      <c r="H1225" s="467" t="e">
        <v>#N/A</v>
      </c>
    </row>
    <row r="1226" spans="1:8" s="478" customFormat="1" hidden="1">
      <c r="A1226" s="469" t="s">
        <v>3716</v>
      </c>
      <c r="B1226" s="470" t="s">
        <v>3717</v>
      </c>
      <c r="C1226" s="536" t="s">
        <v>3718</v>
      </c>
      <c r="D1226" s="471" t="s">
        <v>1808</v>
      </c>
      <c r="E1226" s="466" t="str">
        <f t="shared" si="19"/>
        <v>DM</v>
      </c>
      <c r="F1226" s="467">
        <v>2000</v>
      </c>
      <c r="H1226" s="467" t="e">
        <v>#N/A</v>
      </c>
    </row>
    <row r="1227" spans="1:8" s="478" customFormat="1" hidden="1">
      <c r="A1227" s="469" t="s">
        <v>3719</v>
      </c>
      <c r="B1227" s="470" t="s">
        <v>3720</v>
      </c>
      <c r="C1227" s="536" t="s">
        <v>3721</v>
      </c>
      <c r="D1227" s="471" t="s">
        <v>1808</v>
      </c>
      <c r="E1227" s="466" t="str">
        <f t="shared" si="19"/>
        <v>DM</v>
      </c>
      <c r="F1227" s="467">
        <v>2000</v>
      </c>
      <c r="H1227" s="467" t="e">
        <v>#N/A</v>
      </c>
    </row>
    <row r="1228" spans="1:8" s="478" customFormat="1" hidden="1">
      <c r="A1228" s="469" t="s">
        <v>3722</v>
      </c>
      <c r="B1228" s="470" t="s">
        <v>3723</v>
      </c>
      <c r="C1228" s="536" t="s">
        <v>3724</v>
      </c>
      <c r="D1228" s="471" t="s">
        <v>1808</v>
      </c>
      <c r="E1228" s="466" t="str">
        <f t="shared" si="19"/>
        <v>DD</v>
      </c>
      <c r="F1228" s="467">
        <v>2000</v>
      </c>
      <c r="H1228" s="467" t="e">
        <v>#N/A</v>
      </c>
    </row>
    <row r="1229" spans="1:8" s="478" customFormat="1" hidden="1">
      <c r="A1229" s="469" t="s">
        <v>3725</v>
      </c>
      <c r="B1229" s="470" t="s">
        <v>3726</v>
      </c>
      <c r="C1229" s="536" t="s">
        <v>3727</v>
      </c>
      <c r="D1229" s="471" t="s">
        <v>1808</v>
      </c>
      <c r="E1229" s="466" t="str">
        <f t="shared" si="19"/>
        <v>DC</v>
      </c>
      <c r="F1229" s="467">
        <v>2000</v>
      </c>
      <c r="H1229" s="467" t="e">
        <v>#N/A</v>
      </c>
    </row>
    <row r="1230" spans="1:8" s="478" customFormat="1" ht="12" hidden="1" customHeight="1">
      <c r="A1230" s="469" t="s">
        <v>3728</v>
      </c>
      <c r="B1230" s="470" t="s">
        <v>3729</v>
      </c>
      <c r="C1230" s="536" t="s">
        <v>3730</v>
      </c>
      <c r="D1230" s="471" t="s">
        <v>1736</v>
      </c>
      <c r="E1230" s="466" t="str">
        <f t="shared" si="19"/>
        <v>Do</v>
      </c>
      <c r="F1230" s="467">
        <v>2000</v>
      </c>
      <c r="H1230" s="467" t="e">
        <v>#N/A</v>
      </c>
    </row>
    <row r="1231" spans="1:8" s="478" customFormat="1" hidden="1">
      <c r="A1231" s="469" t="s">
        <v>3731</v>
      </c>
      <c r="B1231" s="470" t="s">
        <v>3732</v>
      </c>
      <c r="C1231" s="536" t="s">
        <v>3733</v>
      </c>
      <c r="D1231" s="471" t="s">
        <v>1808</v>
      </c>
      <c r="E1231" s="466" t="str">
        <f t="shared" si="19"/>
        <v>DB</v>
      </c>
      <c r="F1231" s="467">
        <v>2000</v>
      </c>
      <c r="H1231" s="467" t="e">
        <v>#N/A</v>
      </c>
    </row>
    <row r="1232" spans="1:8" s="478" customFormat="1" hidden="1">
      <c r="A1232" s="469" t="s">
        <v>3734</v>
      </c>
      <c r="B1232" s="470" t="s">
        <v>3732</v>
      </c>
      <c r="C1232" s="536" t="s">
        <v>3735</v>
      </c>
      <c r="D1232" s="471" t="s">
        <v>1808</v>
      </c>
      <c r="E1232" s="466" t="str">
        <f t="shared" si="19"/>
        <v>DB</v>
      </c>
      <c r="F1232" s="467">
        <v>2000</v>
      </c>
      <c r="H1232" s="467" t="e">
        <v>#N/A</v>
      </c>
    </row>
    <row r="1233" spans="1:8" s="478" customFormat="1" hidden="1">
      <c r="A1233" s="469" t="s">
        <v>3736</v>
      </c>
      <c r="B1233" s="470" t="s">
        <v>3737</v>
      </c>
      <c r="C1233" s="536" t="s">
        <v>3738</v>
      </c>
      <c r="D1233" s="471" t="s">
        <v>1808</v>
      </c>
      <c r="E1233" s="466" t="str">
        <f t="shared" si="19"/>
        <v>DB</v>
      </c>
      <c r="F1233" s="467">
        <v>2000</v>
      </c>
      <c r="H1233" s="467" t="e">
        <v>#N/A</v>
      </c>
    </row>
    <row r="1234" spans="1:8" ht="15.6" hidden="1">
      <c r="A1234" s="584" t="s">
        <v>1208</v>
      </c>
      <c r="B1234" s="468" t="s">
        <v>2007</v>
      </c>
      <c r="C1234" s="585" t="s">
        <v>3739</v>
      </c>
      <c r="D1234" s="586" t="s">
        <v>3740</v>
      </c>
      <c r="E1234" s="466" t="str">
        <f t="shared" si="19"/>
        <v>Ho</v>
      </c>
      <c r="F1234" s="467">
        <v>50</v>
      </c>
      <c r="G1234" s="467" t="s">
        <v>28</v>
      </c>
      <c r="H1234" s="467">
        <v>0</v>
      </c>
    </row>
    <row r="1235" spans="1:8" ht="15.6" hidden="1">
      <c r="A1235" s="584" t="s">
        <v>3741</v>
      </c>
      <c r="B1235" s="468"/>
      <c r="C1235" s="585" t="s">
        <v>3742</v>
      </c>
      <c r="D1235" s="587" t="s">
        <v>281</v>
      </c>
      <c r="E1235" s="466" t="str">
        <f t="shared" si="19"/>
        <v>CC</v>
      </c>
      <c r="F1235" s="467">
        <v>50</v>
      </c>
      <c r="G1235" s="467" t="s">
        <v>28</v>
      </c>
      <c r="H1235" s="467" t="s">
        <v>281</v>
      </c>
    </row>
    <row r="1236" spans="1:8" ht="15.6" hidden="1">
      <c r="A1236" s="584" t="s">
        <v>1125</v>
      </c>
      <c r="B1236" s="468"/>
      <c r="C1236" s="585" t="s">
        <v>3743</v>
      </c>
      <c r="D1236" s="587" t="s">
        <v>775</v>
      </c>
      <c r="E1236" s="466" t="str">
        <f t="shared" si="19"/>
        <v>CC</v>
      </c>
      <c r="F1236" s="467">
        <v>50</v>
      </c>
      <c r="G1236" s="467" t="s">
        <v>28</v>
      </c>
      <c r="H1236" s="467">
        <v>0</v>
      </c>
    </row>
    <row r="1237" spans="1:8" ht="15.6" hidden="1">
      <c r="A1237" s="584" t="s">
        <v>3744</v>
      </c>
      <c r="B1237" s="468"/>
      <c r="C1237" s="585" t="s">
        <v>3745</v>
      </c>
      <c r="D1237" s="587" t="s">
        <v>281</v>
      </c>
      <c r="E1237" s="466" t="str">
        <f t="shared" ref="E1237:E1254" si="20">LEFT(A1237,2)</f>
        <v>CC</v>
      </c>
      <c r="F1237" s="467">
        <v>50</v>
      </c>
      <c r="G1237" s="467" t="s">
        <v>28</v>
      </c>
      <c r="H1237" s="467" t="s">
        <v>281</v>
      </c>
    </row>
    <row r="1238" spans="1:8" ht="15.6" hidden="1">
      <c r="A1238" s="584" t="s">
        <v>3746</v>
      </c>
      <c r="B1238" s="468"/>
      <c r="C1238" s="585" t="s">
        <v>3747</v>
      </c>
      <c r="D1238" s="587" t="s">
        <v>281</v>
      </c>
      <c r="E1238" s="466" t="str">
        <f>LEFT(A1238,2)</f>
        <v>CC</v>
      </c>
      <c r="F1238" s="467">
        <v>50</v>
      </c>
      <c r="G1238" s="467" t="s">
        <v>28</v>
      </c>
      <c r="H1238" s="467">
        <v>0</v>
      </c>
    </row>
    <row r="1239" spans="1:8" ht="15.6" hidden="1">
      <c r="A1239" s="584" t="s">
        <v>1204</v>
      </c>
      <c r="B1239" s="468"/>
      <c r="C1239" s="585" t="s">
        <v>3748</v>
      </c>
      <c r="D1239" s="587" t="s">
        <v>775</v>
      </c>
      <c r="E1239" s="466" t="str">
        <f t="shared" si="20"/>
        <v>TD</v>
      </c>
      <c r="F1239" s="467">
        <v>50</v>
      </c>
      <c r="G1239" s="467" t="s">
        <v>28</v>
      </c>
      <c r="H1239" s="467">
        <v>0</v>
      </c>
    </row>
    <row r="1240" spans="1:8" ht="15.6" hidden="1">
      <c r="A1240" s="584" t="s">
        <v>827</v>
      </c>
      <c r="B1240" s="464" t="s">
        <v>2300</v>
      </c>
      <c r="C1240" s="510" t="s">
        <v>3749</v>
      </c>
      <c r="D1240" s="587" t="s">
        <v>778</v>
      </c>
      <c r="E1240" s="466" t="str">
        <f t="shared" si="20"/>
        <v>PK</v>
      </c>
      <c r="F1240" s="467">
        <v>2000</v>
      </c>
      <c r="H1240" s="467">
        <v>0</v>
      </c>
    </row>
    <row r="1241" spans="1:8" ht="15.6" hidden="1">
      <c r="A1241" s="584" t="s">
        <v>1061</v>
      </c>
      <c r="B1241" s="464" t="s">
        <v>2344</v>
      </c>
      <c r="C1241" s="510" t="s">
        <v>2345</v>
      </c>
      <c r="D1241" s="587" t="s">
        <v>778</v>
      </c>
      <c r="E1241" s="466" t="str">
        <f t="shared" si="20"/>
        <v>DA</v>
      </c>
      <c r="F1241" s="467">
        <v>2000</v>
      </c>
      <c r="H1241" s="467">
        <v>0</v>
      </c>
    </row>
    <row r="1242" spans="1:8" ht="15.6" hidden="1">
      <c r="A1242" s="584" t="s">
        <v>901</v>
      </c>
      <c r="B1242" s="464" t="s">
        <v>781</v>
      </c>
      <c r="C1242" s="510" t="s">
        <v>3750</v>
      </c>
      <c r="D1242" s="587" t="s">
        <v>778</v>
      </c>
      <c r="E1242" s="466" t="str">
        <f t="shared" si="20"/>
        <v>DC</v>
      </c>
      <c r="F1242" s="467">
        <v>2000</v>
      </c>
      <c r="H1242" s="467">
        <v>0</v>
      </c>
    </row>
    <row r="1243" spans="1:8" ht="15.6" hidden="1">
      <c r="A1243" s="584" t="s">
        <v>583</v>
      </c>
      <c r="B1243" s="464" t="s">
        <v>2332</v>
      </c>
      <c r="C1243" s="510" t="s">
        <v>2468</v>
      </c>
      <c r="D1243" s="587" t="s">
        <v>778</v>
      </c>
      <c r="E1243" s="466" t="str">
        <f t="shared" si="20"/>
        <v>TH</v>
      </c>
      <c r="F1243" s="467">
        <v>2000</v>
      </c>
      <c r="H1243" s="467">
        <v>0.19305</v>
      </c>
    </row>
    <row r="1244" spans="1:8" ht="15.6" hidden="1">
      <c r="A1244" s="584" t="s">
        <v>1386</v>
      </c>
      <c r="B1244" s="464" t="s">
        <v>2410</v>
      </c>
      <c r="C1244" s="510" t="s">
        <v>2411</v>
      </c>
      <c r="D1244" s="587" t="s">
        <v>778</v>
      </c>
      <c r="E1244" s="466" t="str">
        <f t="shared" si="20"/>
        <v>XI</v>
      </c>
      <c r="F1244" s="467">
        <v>2000</v>
      </c>
      <c r="H1244" s="467">
        <v>0.4</v>
      </c>
    </row>
    <row r="1245" spans="1:8" ht="15.6" hidden="1">
      <c r="A1245" s="584" t="s">
        <v>3751</v>
      </c>
      <c r="B1245" s="464" t="s">
        <v>2456</v>
      </c>
      <c r="C1245" s="510" t="s">
        <v>2457</v>
      </c>
      <c r="D1245" s="587" t="s">
        <v>1808</v>
      </c>
      <c r="E1245" s="466" t="str">
        <f t="shared" si="20"/>
        <v>vc</v>
      </c>
      <c r="F1245" s="467">
        <v>2000</v>
      </c>
      <c r="H1245" s="467" t="e">
        <v>#N/A</v>
      </c>
    </row>
    <row r="1246" spans="1:8" ht="15.6" hidden="1">
      <c r="A1246" s="584" t="s">
        <v>1387</v>
      </c>
      <c r="B1246" s="464" t="s">
        <v>2421</v>
      </c>
      <c r="C1246" s="510" t="s">
        <v>2422</v>
      </c>
      <c r="D1246" s="587" t="s">
        <v>1808</v>
      </c>
      <c r="E1246" s="466" t="str">
        <f t="shared" si="20"/>
        <v>DA</v>
      </c>
      <c r="F1246" s="467">
        <v>2000</v>
      </c>
      <c r="H1246" s="467">
        <v>0</v>
      </c>
    </row>
    <row r="1247" spans="1:8" ht="15.6" hidden="1">
      <c r="A1247" s="584" t="s">
        <v>3752</v>
      </c>
      <c r="B1247" s="464" t="s">
        <v>2280</v>
      </c>
      <c r="C1247" s="510" t="s">
        <v>2281</v>
      </c>
      <c r="D1247" s="587" t="s">
        <v>778</v>
      </c>
      <c r="E1247" s="466" t="str">
        <f t="shared" si="20"/>
        <v>DA</v>
      </c>
      <c r="F1247" s="467">
        <v>2000</v>
      </c>
      <c r="H1247" s="467">
        <v>0</v>
      </c>
    </row>
    <row r="1248" spans="1:8" ht="15.6" hidden="1">
      <c r="A1248" s="584" t="s">
        <v>605</v>
      </c>
      <c r="B1248" s="464" t="s">
        <v>2332</v>
      </c>
      <c r="C1248" s="510" t="s">
        <v>2333</v>
      </c>
      <c r="D1248" s="587" t="s">
        <v>778</v>
      </c>
      <c r="E1248" s="466" t="str">
        <f t="shared" si="20"/>
        <v>TD</v>
      </c>
      <c r="F1248" s="467">
        <v>2000</v>
      </c>
      <c r="H1248" s="467">
        <v>0</v>
      </c>
    </row>
    <row r="1249" spans="1:8" ht="15.6" hidden="1">
      <c r="A1249" s="584" t="s">
        <v>909</v>
      </c>
      <c r="B1249" s="464" t="s">
        <v>2280</v>
      </c>
      <c r="C1249" s="510" t="s">
        <v>2292</v>
      </c>
      <c r="D1249" s="587" t="s">
        <v>778</v>
      </c>
      <c r="E1249" s="466" t="str">
        <f t="shared" si="20"/>
        <v>DN</v>
      </c>
      <c r="F1249" s="467">
        <v>2000</v>
      </c>
      <c r="H1249" s="467">
        <v>8.6999999999999994E-2</v>
      </c>
    </row>
    <row r="1250" spans="1:8" ht="15.6" hidden="1">
      <c r="A1250" s="584" t="s">
        <v>3753</v>
      </c>
      <c r="B1250" s="464" t="s">
        <v>2300</v>
      </c>
      <c r="C1250" s="510" t="s">
        <v>2301</v>
      </c>
      <c r="D1250" s="587" t="s">
        <v>778</v>
      </c>
      <c r="E1250" s="466" t="str">
        <f t="shared" si="20"/>
        <v>vc</v>
      </c>
      <c r="F1250" s="467">
        <v>2000</v>
      </c>
      <c r="H1250" s="467" t="e">
        <v>#N/A</v>
      </c>
    </row>
    <row r="1251" spans="1:8" ht="15.6" hidden="1">
      <c r="A1251" s="584" t="s">
        <v>658</v>
      </c>
      <c r="B1251" s="464" t="s">
        <v>2312</v>
      </c>
      <c r="C1251" s="510" t="s">
        <v>2313</v>
      </c>
      <c r="D1251" s="587" t="s">
        <v>778</v>
      </c>
      <c r="E1251" s="466" t="str">
        <f t="shared" si="20"/>
        <v>CO</v>
      </c>
      <c r="F1251" s="467">
        <v>2000</v>
      </c>
      <c r="H1251" s="467">
        <v>0.2</v>
      </c>
    </row>
    <row r="1252" spans="1:8" ht="15.6" hidden="1">
      <c r="A1252" s="584" t="s">
        <v>711</v>
      </c>
      <c r="B1252" s="464" t="s">
        <v>779</v>
      </c>
      <c r="C1252" s="510" t="s">
        <v>780</v>
      </c>
      <c r="D1252" s="587" t="s">
        <v>778</v>
      </c>
      <c r="E1252" s="466" t="str">
        <f t="shared" si="20"/>
        <v>XA</v>
      </c>
      <c r="F1252" s="467">
        <v>2000</v>
      </c>
      <c r="H1252" s="467">
        <v>0</v>
      </c>
    </row>
    <row r="1253" spans="1:8" ht="15.6" hidden="1">
      <c r="A1253" s="584" t="s">
        <v>513</v>
      </c>
      <c r="B1253" s="464" t="s">
        <v>2399</v>
      </c>
      <c r="C1253" s="510" t="s">
        <v>2400</v>
      </c>
      <c r="D1253" s="587" t="s">
        <v>416</v>
      </c>
      <c r="E1253" s="466" t="str">
        <f t="shared" si="20"/>
        <v>ct</v>
      </c>
      <c r="F1253" s="467">
        <v>2000</v>
      </c>
      <c r="H1253" s="467">
        <v>42</v>
      </c>
    </row>
    <row r="1254" spans="1:8" hidden="1">
      <c r="H1254" s="467">
        <v>0</v>
      </c>
    </row>
    <row r="1255" spans="1:8" hidden="1">
      <c r="H1255" s="467">
        <v>0</v>
      </c>
    </row>
    <row r="1256" spans="1:8" hidden="1">
      <c r="A1256" s="588" t="s">
        <v>444</v>
      </c>
      <c r="C1256" s="539" t="s">
        <v>445</v>
      </c>
      <c r="D1256" s="467" t="s">
        <v>446</v>
      </c>
      <c r="F1256" s="467">
        <v>2000</v>
      </c>
      <c r="H1256" s="467" t="s">
        <v>3754</v>
      </c>
    </row>
    <row r="1257" spans="1:8" hidden="1">
      <c r="A1257" s="588" t="s">
        <v>448</v>
      </c>
      <c r="C1257" s="539" t="s">
        <v>449</v>
      </c>
      <c r="D1257" s="467" t="s">
        <v>446</v>
      </c>
      <c r="F1257" s="467">
        <v>2000</v>
      </c>
      <c r="H1257" s="467" t="s">
        <v>3754</v>
      </c>
    </row>
    <row r="1258" spans="1:8" hidden="1">
      <c r="A1258" s="588" t="s">
        <v>451</v>
      </c>
      <c r="C1258" s="539" t="s">
        <v>452</v>
      </c>
      <c r="D1258" s="467" t="s">
        <v>446</v>
      </c>
      <c r="F1258" s="467">
        <v>2000</v>
      </c>
      <c r="H1258" s="467" t="s">
        <v>3754</v>
      </c>
    </row>
    <row r="1259" spans="1:8" hidden="1">
      <c r="A1259" s="588" t="s">
        <v>453</v>
      </c>
      <c r="C1259" s="539" t="s">
        <v>454</v>
      </c>
      <c r="D1259" s="467" t="s">
        <v>446</v>
      </c>
      <c r="F1259" s="467">
        <v>2000</v>
      </c>
      <c r="H1259" s="467" t="s">
        <v>3754</v>
      </c>
    </row>
    <row r="1260" spans="1:8" hidden="1">
      <c r="A1260" s="588" t="s">
        <v>455</v>
      </c>
      <c r="C1260" s="539" t="s">
        <v>456</v>
      </c>
      <c r="D1260" s="467" t="s">
        <v>446</v>
      </c>
      <c r="F1260" s="467">
        <v>2000</v>
      </c>
      <c r="H1260" s="467" t="s">
        <v>3754</v>
      </c>
    </row>
    <row r="1261" spans="1:8" hidden="1">
      <c r="A1261" s="588" t="s">
        <v>457</v>
      </c>
      <c r="C1261" s="539" t="s">
        <v>458</v>
      </c>
      <c r="D1261" s="467" t="s">
        <v>446</v>
      </c>
      <c r="F1261" s="467">
        <v>2000</v>
      </c>
      <c r="H1261" s="467" t="s">
        <v>3754</v>
      </c>
    </row>
    <row r="1262" spans="1:8" hidden="1">
      <c r="A1262" s="588" t="s">
        <v>459</v>
      </c>
      <c r="C1262" s="539" t="s">
        <v>460</v>
      </c>
      <c r="D1262" s="467" t="s">
        <v>446</v>
      </c>
      <c r="F1262" s="467">
        <v>2000</v>
      </c>
      <c r="H1262" s="467" t="s">
        <v>3754</v>
      </c>
    </row>
    <row r="1263" spans="1:8" hidden="1">
      <c r="A1263" s="588" t="s">
        <v>461</v>
      </c>
      <c r="C1263" s="539" t="s">
        <v>462</v>
      </c>
      <c r="D1263" s="467" t="s">
        <v>446</v>
      </c>
      <c r="F1263" s="467">
        <v>2000</v>
      </c>
      <c r="H1263" s="467" t="s">
        <v>3754</v>
      </c>
    </row>
    <row r="1264" spans="1:8" hidden="1">
      <c r="A1264" s="588" t="s">
        <v>463</v>
      </c>
      <c r="C1264" s="589" t="s">
        <v>464</v>
      </c>
      <c r="D1264" s="467" t="s">
        <v>446</v>
      </c>
      <c r="F1264" s="467">
        <v>2000</v>
      </c>
      <c r="H1264" s="467" t="s">
        <v>3754</v>
      </c>
    </row>
    <row r="1265" spans="1:8" hidden="1">
      <c r="A1265" s="588" t="s">
        <v>481</v>
      </c>
      <c r="C1265" s="589" t="s">
        <v>3755</v>
      </c>
      <c r="D1265" s="467" t="s">
        <v>446</v>
      </c>
      <c r="F1265" s="467">
        <v>2000</v>
      </c>
      <c r="H1265" s="467" t="s">
        <v>3754</v>
      </c>
    </row>
    <row r="1266" spans="1:8" hidden="1">
      <c r="A1266" s="588" t="s">
        <v>484</v>
      </c>
      <c r="C1266" s="539" t="s">
        <v>485</v>
      </c>
      <c r="D1266" s="467" t="s">
        <v>446</v>
      </c>
      <c r="F1266" s="467">
        <v>2000</v>
      </c>
      <c r="H1266" s="467" t="s">
        <v>3754</v>
      </c>
    </row>
    <row r="1267" spans="1:8" hidden="1">
      <c r="A1267" s="588" t="s">
        <v>486</v>
      </c>
      <c r="C1267" s="539" t="s">
        <v>487</v>
      </c>
      <c r="D1267" s="467" t="s">
        <v>446</v>
      </c>
      <c r="F1267" s="467">
        <v>2000</v>
      </c>
      <c r="H1267" s="467" t="s">
        <v>3754</v>
      </c>
    </row>
    <row r="1268" spans="1:8" hidden="1">
      <c r="A1268" s="588" t="s">
        <v>488</v>
      </c>
      <c r="C1268" s="539" t="s">
        <v>489</v>
      </c>
      <c r="D1268" s="467" t="s">
        <v>446</v>
      </c>
      <c r="F1268" s="467">
        <v>2000</v>
      </c>
      <c r="H1268" s="467" t="s">
        <v>3754</v>
      </c>
    </row>
    <row r="1269" spans="1:8" hidden="1">
      <c r="A1269" s="588" t="s">
        <v>490</v>
      </c>
      <c r="C1269" s="539" t="s">
        <v>491</v>
      </c>
      <c r="D1269" s="467" t="s">
        <v>446</v>
      </c>
      <c r="F1269" s="467">
        <v>2000</v>
      </c>
      <c r="H1269" s="467" t="s">
        <v>3754</v>
      </c>
    </row>
    <row r="1270" spans="1:8" hidden="1">
      <c r="A1270" s="588" t="s">
        <v>492</v>
      </c>
      <c r="C1270" s="539" t="s">
        <v>493</v>
      </c>
      <c r="D1270" s="467" t="s">
        <v>446</v>
      </c>
      <c r="F1270" s="467">
        <v>2000</v>
      </c>
      <c r="H1270" s="467" t="s">
        <v>3754</v>
      </c>
    </row>
    <row r="1271" spans="1:8" hidden="1">
      <c r="A1271" s="588" t="s">
        <v>494</v>
      </c>
      <c r="C1271" s="539" t="s">
        <v>495</v>
      </c>
      <c r="D1271" s="467" t="s">
        <v>446</v>
      </c>
      <c r="F1271" s="467">
        <v>2000</v>
      </c>
      <c r="H1271" s="467" t="s">
        <v>3754</v>
      </c>
    </row>
    <row r="1272" spans="1:8" hidden="1">
      <c r="A1272" s="588" t="s">
        <v>496</v>
      </c>
      <c r="C1272" s="539" t="s">
        <v>497</v>
      </c>
      <c r="D1272" s="467" t="s">
        <v>446</v>
      </c>
      <c r="F1272" s="467">
        <v>2000</v>
      </c>
      <c r="H1272" s="467" t="s">
        <v>3754</v>
      </c>
    </row>
    <row r="1273" spans="1:8" hidden="1">
      <c r="A1273" s="588" t="s">
        <v>498</v>
      </c>
      <c r="C1273" s="539" t="s">
        <v>499</v>
      </c>
      <c r="D1273" s="467" t="s">
        <v>446</v>
      </c>
      <c r="F1273" s="467">
        <v>2000</v>
      </c>
      <c r="H1273" s="467" t="s">
        <v>3754</v>
      </c>
    </row>
    <row r="1274" spans="1:8" hidden="1">
      <c r="A1274" s="588" t="s">
        <v>500</v>
      </c>
      <c r="C1274" s="589" t="s">
        <v>501</v>
      </c>
      <c r="D1274" s="467" t="s">
        <v>446</v>
      </c>
      <c r="F1274" s="467">
        <v>2000</v>
      </c>
      <c r="H1274" s="467" t="s">
        <v>3754</v>
      </c>
    </row>
    <row r="1275" spans="1:8" hidden="1">
      <c r="A1275" s="588" t="s">
        <v>503</v>
      </c>
      <c r="C1275" s="539" t="s">
        <v>504</v>
      </c>
      <c r="D1275" s="467" t="s">
        <v>446</v>
      </c>
      <c r="F1275" s="467">
        <v>2000</v>
      </c>
      <c r="H1275" s="467" t="s">
        <v>3754</v>
      </c>
    </row>
    <row r="1276" spans="1:8" hidden="1">
      <c r="A1276" s="588" t="s">
        <v>505</v>
      </c>
      <c r="C1276" s="539" t="s">
        <v>506</v>
      </c>
      <c r="D1276" s="467" t="s">
        <v>446</v>
      </c>
      <c r="F1276" s="467">
        <v>2000</v>
      </c>
      <c r="H1276" s="467" t="s">
        <v>3754</v>
      </c>
    </row>
    <row r="1277" spans="1:8" hidden="1">
      <c r="A1277" s="588" t="s">
        <v>508</v>
      </c>
      <c r="C1277" s="539" t="s">
        <v>509</v>
      </c>
      <c r="D1277" s="467" t="s">
        <v>446</v>
      </c>
      <c r="F1277" s="467">
        <v>2000</v>
      </c>
      <c r="H1277" s="467" t="s">
        <v>3754</v>
      </c>
    </row>
    <row r="1278" spans="1:8" hidden="1">
      <c r="A1278" s="588" t="s">
        <v>510</v>
      </c>
      <c r="C1278" s="539" t="s">
        <v>511</v>
      </c>
      <c r="D1278" s="467" t="s">
        <v>446</v>
      </c>
      <c r="F1278" s="467">
        <v>2000</v>
      </c>
      <c r="H1278" s="467" t="s">
        <v>3754</v>
      </c>
    </row>
    <row r="1279" spans="1:8" hidden="1">
      <c r="A1279" s="588" t="s">
        <v>514</v>
      </c>
      <c r="C1279" s="539" t="s">
        <v>515</v>
      </c>
      <c r="D1279" s="467" t="s">
        <v>446</v>
      </c>
      <c r="F1279" s="467">
        <v>2000</v>
      </c>
      <c r="H1279" s="467" t="s">
        <v>3754</v>
      </c>
    </row>
    <row r="1280" spans="1:8" hidden="1">
      <c r="A1280" s="588" t="s">
        <v>516</v>
      </c>
      <c r="C1280" s="539" t="s">
        <v>517</v>
      </c>
      <c r="D1280" s="467" t="s">
        <v>446</v>
      </c>
      <c r="F1280" s="467">
        <v>2000</v>
      </c>
      <c r="H1280" s="467" t="s">
        <v>3754</v>
      </c>
    </row>
    <row r="1281" spans="1:8" hidden="1">
      <c r="A1281" s="588" t="s">
        <v>518</v>
      </c>
      <c r="C1281" s="539" t="s">
        <v>519</v>
      </c>
      <c r="D1281" s="467" t="s">
        <v>446</v>
      </c>
      <c r="F1281" s="467">
        <v>2000</v>
      </c>
      <c r="H1281" s="467" t="s">
        <v>3754</v>
      </c>
    </row>
    <row r="1282" spans="1:8" hidden="1">
      <c r="A1282" s="588" t="s">
        <v>520</v>
      </c>
      <c r="C1282" s="539" t="s">
        <v>521</v>
      </c>
      <c r="D1282" s="467" t="s">
        <v>446</v>
      </c>
      <c r="F1282" s="467">
        <v>2000</v>
      </c>
      <c r="H1282" s="467" t="s">
        <v>3754</v>
      </c>
    </row>
    <row r="1283" spans="1:8" hidden="1">
      <c r="A1283" s="588" t="s">
        <v>522</v>
      </c>
      <c r="C1283" s="539" t="s">
        <v>523</v>
      </c>
      <c r="D1283" s="467" t="s">
        <v>446</v>
      </c>
      <c r="F1283" s="467">
        <v>2000</v>
      </c>
      <c r="H1283" s="467" t="s">
        <v>3754</v>
      </c>
    </row>
    <row r="1284" spans="1:8" hidden="1">
      <c r="A1284" s="588" t="s">
        <v>524</v>
      </c>
      <c r="C1284" s="539" t="s">
        <v>525</v>
      </c>
      <c r="D1284" s="467" t="s">
        <v>446</v>
      </c>
      <c r="F1284" s="467">
        <v>2000</v>
      </c>
      <c r="H1284" s="467" t="s">
        <v>3754</v>
      </c>
    </row>
    <row r="1285" spans="1:8" hidden="1">
      <c r="A1285" s="588" t="s">
        <v>526</v>
      </c>
      <c r="C1285" s="539" t="s">
        <v>527</v>
      </c>
      <c r="D1285" s="467" t="s">
        <v>446</v>
      </c>
      <c r="F1285" s="467">
        <v>2000</v>
      </c>
      <c r="H1285" s="467" t="s">
        <v>3754</v>
      </c>
    </row>
    <row r="1286" spans="1:8" hidden="1">
      <c r="A1286" s="588" t="s">
        <v>528</v>
      </c>
      <c r="C1286" s="539" t="s">
        <v>529</v>
      </c>
      <c r="D1286" s="467" t="s">
        <v>446</v>
      </c>
      <c r="F1286" s="467">
        <v>2000</v>
      </c>
      <c r="H1286" s="467" t="s">
        <v>3754</v>
      </c>
    </row>
    <row r="1287" spans="1:8" hidden="1">
      <c r="A1287" s="588" t="s">
        <v>530</v>
      </c>
      <c r="C1287" s="539" t="s">
        <v>531</v>
      </c>
      <c r="D1287" s="467" t="s">
        <v>446</v>
      </c>
      <c r="F1287" s="467">
        <v>2000</v>
      </c>
      <c r="H1287" s="467" t="s">
        <v>3754</v>
      </c>
    </row>
    <row r="1288" spans="1:8" hidden="1">
      <c r="A1288" s="588" t="s">
        <v>532</v>
      </c>
      <c r="C1288" s="539" t="s">
        <v>533</v>
      </c>
      <c r="D1288" s="467" t="s">
        <v>446</v>
      </c>
      <c r="F1288" s="467">
        <v>2000</v>
      </c>
      <c r="H1288" s="467" t="s">
        <v>3754</v>
      </c>
    </row>
    <row r="1289" spans="1:8" hidden="1">
      <c r="A1289" s="588" t="s">
        <v>534</v>
      </c>
      <c r="C1289" s="539" t="s">
        <v>535</v>
      </c>
      <c r="D1289" s="467" t="s">
        <v>446</v>
      </c>
      <c r="F1289" s="467">
        <v>2000</v>
      </c>
      <c r="H1289" s="467" t="s">
        <v>3754</v>
      </c>
    </row>
    <row r="1290" spans="1:8" hidden="1">
      <c r="A1290" s="588" t="s">
        <v>536</v>
      </c>
      <c r="C1290" s="539" t="s">
        <v>537</v>
      </c>
      <c r="D1290" s="467" t="s">
        <v>446</v>
      </c>
      <c r="F1290" s="467">
        <v>2000</v>
      </c>
      <c r="H1290" s="467" t="s">
        <v>3754</v>
      </c>
    </row>
    <row r="1291" spans="1:8" hidden="1">
      <c r="A1291" s="588" t="s">
        <v>538</v>
      </c>
      <c r="C1291" s="539" t="s">
        <v>539</v>
      </c>
      <c r="D1291" s="467" t="s">
        <v>446</v>
      </c>
      <c r="F1291" s="467">
        <v>2000</v>
      </c>
      <c r="H1291" s="467" t="s">
        <v>3754</v>
      </c>
    </row>
    <row r="1292" spans="1:8" hidden="1">
      <c r="A1292" s="588" t="s">
        <v>540</v>
      </c>
      <c r="C1292" s="539" t="s">
        <v>541</v>
      </c>
      <c r="D1292" s="467" t="s">
        <v>446</v>
      </c>
      <c r="F1292" s="467">
        <v>2000</v>
      </c>
      <c r="H1292" s="467" t="s">
        <v>3754</v>
      </c>
    </row>
    <row r="1293" spans="1:8">
      <c r="A1293" s="588" t="s">
        <v>545</v>
      </c>
      <c r="C1293" s="589" t="s">
        <v>546</v>
      </c>
      <c r="D1293" s="467" t="s">
        <v>446</v>
      </c>
      <c r="F1293" s="467">
        <v>2000</v>
      </c>
      <c r="H1293" s="467" t="s">
        <v>3754</v>
      </c>
    </row>
    <row r="1294" spans="1:8">
      <c r="A1294" s="588" t="s">
        <v>547</v>
      </c>
      <c r="C1294" s="589" t="s">
        <v>548</v>
      </c>
      <c r="D1294" s="467" t="s">
        <v>446</v>
      </c>
      <c r="F1294" s="467">
        <v>2000</v>
      </c>
      <c r="H1294" s="467" t="s">
        <v>3754</v>
      </c>
    </row>
    <row r="1295" spans="1:8" hidden="1">
      <c r="A1295" s="588" t="s">
        <v>549</v>
      </c>
      <c r="C1295" s="539" t="s">
        <v>550</v>
      </c>
      <c r="D1295" s="467" t="s">
        <v>446</v>
      </c>
      <c r="F1295" s="467">
        <v>2000</v>
      </c>
      <c r="H1295" s="467" t="s">
        <v>3754</v>
      </c>
    </row>
    <row r="1296" spans="1:8">
      <c r="A1296" s="588" t="s">
        <v>553</v>
      </c>
      <c r="C1296" s="589" t="s">
        <v>554</v>
      </c>
      <c r="D1296" s="467" t="s">
        <v>446</v>
      </c>
      <c r="F1296" s="467">
        <v>2000</v>
      </c>
      <c r="H1296" s="467" t="s">
        <v>3754</v>
      </c>
    </row>
    <row r="1297" spans="1:8" hidden="1">
      <c r="A1297" s="588" t="s">
        <v>556</v>
      </c>
      <c r="C1297" s="539" t="s">
        <v>557</v>
      </c>
      <c r="D1297" s="467" t="s">
        <v>446</v>
      </c>
      <c r="F1297" s="467">
        <v>2000</v>
      </c>
      <c r="H1297" s="467" t="s">
        <v>3754</v>
      </c>
    </row>
    <row r="1298" spans="1:8" hidden="1">
      <c r="A1298" s="588" t="s">
        <v>558</v>
      </c>
      <c r="C1298" s="539" t="s">
        <v>559</v>
      </c>
      <c r="D1298" s="467" t="s">
        <v>446</v>
      </c>
      <c r="F1298" s="467">
        <v>2000</v>
      </c>
      <c r="H1298" s="467" t="s">
        <v>3754</v>
      </c>
    </row>
    <row r="1299" spans="1:8" hidden="1">
      <c r="A1299" s="588" t="s">
        <v>560</v>
      </c>
      <c r="C1299" s="539" t="s">
        <v>561</v>
      </c>
      <c r="D1299" s="467" t="s">
        <v>446</v>
      </c>
      <c r="F1299" s="467">
        <v>2000</v>
      </c>
      <c r="H1299" s="467" t="s">
        <v>3754</v>
      </c>
    </row>
    <row r="1300" spans="1:8" hidden="1">
      <c r="A1300" s="588" t="s">
        <v>562</v>
      </c>
      <c r="C1300" s="589" t="s">
        <v>563</v>
      </c>
      <c r="D1300" s="467" t="s">
        <v>446</v>
      </c>
      <c r="F1300" s="467">
        <v>2000</v>
      </c>
      <c r="H1300" s="467" t="s">
        <v>3754</v>
      </c>
    </row>
    <row r="1301" spans="1:8" hidden="1">
      <c r="A1301" s="588" t="s">
        <v>564</v>
      </c>
      <c r="C1301" s="539" t="s">
        <v>565</v>
      </c>
      <c r="D1301" s="467" t="s">
        <v>446</v>
      </c>
      <c r="F1301" s="467">
        <v>2000</v>
      </c>
      <c r="H1301" s="467" t="s">
        <v>3754</v>
      </c>
    </row>
    <row r="1302" spans="1:8" hidden="1">
      <c r="A1302" s="588" t="s">
        <v>566</v>
      </c>
      <c r="C1302" s="539" t="s">
        <v>567</v>
      </c>
      <c r="D1302" s="467" t="s">
        <v>446</v>
      </c>
      <c r="F1302" s="467">
        <v>2000</v>
      </c>
      <c r="H1302" s="467" t="s">
        <v>3754</v>
      </c>
    </row>
    <row r="1303" spans="1:8" hidden="1">
      <c r="A1303" s="588" t="s">
        <v>568</v>
      </c>
      <c r="C1303" s="539" t="s">
        <v>569</v>
      </c>
      <c r="D1303" s="467" t="s">
        <v>446</v>
      </c>
      <c r="F1303" s="467">
        <v>2000</v>
      </c>
      <c r="H1303" s="467" t="s">
        <v>3754</v>
      </c>
    </row>
    <row r="1304" spans="1:8" hidden="1">
      <c r="A1304" s="588" t="s">
        <v>570</v>
      </c>
      <c r="C1304" s="539" t="s">
        <v>571</v>
      </c>
      <c r="D1304" s="467" t="s">
        <v>446</v>
      </c>
      <c r="F1304" s="467">
        <v>2000</v>
      </c>
      <c r="H1304" s="467" t="s">
        <v>3754</v>
      </c>
    </row>
    <row r="1305" spans="1:8" hidden="1">
      <c r="A1305" s="588" t="s">
        <v>572</v>
      </c>
      <c r="C1305" s="539" t="s">
        <v>573</v>
      </c>
      <c r="D1305" s="467" t="s">
        <v>446</v>
      </c>
      <c r="F1305" s="467">
        <v>2000</v>
      </c>
      <c r="H1305" s="467" t="s">
        <v>3754</v>
      </c>
    </row>
    <row r="1306" spans="1:8" hidden="1">
      <c r="A1306" s="588" t="s">
        <v>574</v>
      </c>
      <c r="C1306" s="539" t="s">
        <v>575</v>
      </c>
      <c r="D1306" s="467" t="s">
        <v>446</v>
      </c>
      <c r="F1306" s="467">
        <v>2000</v>
      </c>
      <c r="H1306" s="467" t="s">
        <v>3754</v>
      </c>
    </row>
    <row r="1307" spans="1:8" hidden="1">
      <c r="A1307" s="588" t="s">
        <v>576</v>
      </c>
      <c r="C1307" s="539" t="s">
        <v>577</v>
      </c>
      <c r="D1307" s="467" t="s">
        <v>446</v>
      </c>
      <c r="F1307" s="467">
        <v>2000</v>
      </c>
      <c r="H1307" s="467" t="s">
        <v>3754</v>
      </c>
    </row>
    <row r="1308" spans="1:8" hidden="1">
      <c r="A1308" s="588" t="s">
        <v>578</v>
      </c>
      <c r="C1308" s="539" t="s">
        <v>579</v>
      </c>
      <c r="D1308" s="467" t="s">
        <v>446</v>
      </c>
      <c r="F1308" s="467">
        <v>2000</v>
      </c>
      <c r="H1308" s="467" t="s">
        <v>3754</v>
      </c>
    </row>
    <row r="1309" spans="1:8" hidden="1">
      <c r="A1309" s="588" t="s">
        <v>585</v>
      </c>
      <c r="C1309" s="539" t="s">
        <v>586</v>
      </c>
      <c r="D1309" s="467" t="s">
        <v>446</v>
      </c>
      <c r="F1309" s="467">
        <v>2000</v>
      </c>
      <c r="H1309" s="467" t="s">
        <v>3754</v>
      </c>
    </row>
    <row r="1310" spans="1:8" hidden="1">
      <c r="A1310" s="588" t="s">
        <v>587</v>
      </c>
      <c r="C1310" s="539" t="s">
        <v>588</v>
      </c>
      <c r="D1310" s="467" t="s">
        <v>589</v>
      </c>
      <c r="F1310" s="467">
        <v>2000</v>
      </c>
      <c r="H1310" s="467" t="s">
        <v>3754</v>
      </c>
    </row>
    <row r="1311" spans="1:8" hidden="1">
      <c r="A1311" s="588" t="s">
        <v>594</v>
      </c>
      <c r="C1311" s="539" t="s">
        <v>595</v>
      </c>
      <c r="D1311" s="467" t="s">
        <v>589</v>
      </c>
      <c r="F1311" s="467">
        <v>2000</v>
      </c>
      <c r="H1311" s="467" t="s">
        <v>3754</v>
      </c>
    </row>
    <row r="1312" spans="1:8" hidden="1">
      <c r="A1312" s="589" t="s">
        <v>596</v>
      </c>
      <c r="C1312" s="539" t="s">
        <v>597</v>
      </c>
      <c r="D1312" s="467" t="s">
        <v>285</v>
      </c>
      <c r="F1312" s="467">
        <v>2000</v>
      </c>
      <c r="H1312" s="467" t="s">
        <v>3754</v>
      </c>
    </row>
    <row r="1313" spans="1:8" hidden="1">
      <c r="A1313" s="589" t="s">
        <v>606</v>
      </c>
      <c r="C1313" s="539" t="s">
        <v>607</v>
      </c>
      <c r="D1313" s="467" t="s">
        <v>285</v>
      </c>
      <c r="F1313" s="467">
        <v>2000</v>
      </c>
      <c r="H1313" s="467" t="s">
        <v>3754</v>
      </c>
    </row>
    <row r="1314" spans="1:8" hidden="1">
      <c r="A1314" s="589" t="s">
        <v>611</v>
      </c>
      <c r="C1314" s="539" t="s">
        <v>3756</v>
      </c>
      <c r="D1314" s="467" t="s">
        <v>285</v>
      </c>
      <c r="F1314" s="467">
        <v>2000</v>
      </c>
      <c r="H1314" s="467" t="s">
        <v>3754</v>
      </c>
    </row>
    <row r="1315" spans="1:8" hidden="1">
      <c r="A1315" s="589" t="s">
        <v>615</v>
      </c>
      <c r="C1315" s="539" t="s">
        <v>616</v>
      </c>
      <c r="D1315" s="467" t="s">
        <v>285</v>
      </c>
      <c r="F1315" s="467">
        <v>2000</v>
      </c>
      <c r="H1315" s="467" t="s">
        <v>3754</v>
      </c>
    </row>
    <row r="1316" spans="1:8" hidden="1">
      <c r="A1316" s="589" t="s">
        <v>618</v>
      </c>
      <c r="C1316" s="539" t="s">
        <v>619</v>
      </c>
      <c r="D1316" s="467" t="s">
        <v>285</v>
      </c>
      <c r="F1316" s="467">
        <v>2000</v>
      </c>
      <c r="H1316" s="467" t="s">
        <v>3754</v>
      </c>
    </row>
    <row r="1317" spans="1:8">
      <c r="A1317" s="589" t="s">
        <v>621</v>
      </c>
      <c r="C1317" s="539" t="s">
        <v>622</v>
      </c>
      <c r="D1317" s="467" t="s">
        <v>285</v>
      </c>
      <c r="F1317" s="467">
        <v>2000</v>
      </c>
      <c r="H1317" s="467" t="s">
        <v>3754</v>
      </c>
    </row>
    <row r="1318" spans="1:8">
      <c r="A1318" s="589" t="s">
        <v>626</v>
      </c>
      <c r="C1318" s="539" t="s">
        <v>627</v>
      </c>
      <c r="D1318" s="467" t="s">
        <v>285</v>
      </c>
      <c r="F1318" s="467">
        <v>2000</v>
      </c>
      <c r="H1318" s="467" t="s">
        <v>3754</v>
      </c>
    </row>
    <row r="1319" spans="1:8" hidden="1">
      <c r="A1319" s="589" t="s">
        <v>629</v>
      </c>
      <c r="C1319" s="539" t="s">
        <v>630</v>
      </c>
      <c r="D1319" s="467" t="s">
        <v>285</v>
      </c>
      <c r="F1319" s="467">
        <v>2000</v>
      </c>
      <c r="H1319" s="467" t="s">
        <v>3754</v>
      </c>
    </row>
    <row r="1320" spans="1:8" hidden="1">
      <c r="A1320" s="589" t="s">
        <v>631</v>
      </c>
      <c r="C1320" s="539" t="s">
        <v>632</v>
      </c>
      <c r="D1320" s="467" t="s">
        <v>285</v>
      </c>
      <c r="F1320" s="467">
        <v>2000</v>
      </c>
      <c r="H1320" s="467" t="s">
        <v>3754</v>
      </c>
    </row>
    <row r="1321" spans="1:8" hidden="1">
      <c r="A1321" s="589" t="s">
        <v>633</v>
      </c>
      <c r="C1321" s="539" t="s">
        <v>634</v>
      </c>
      <c r="D1321" s="467" t="s">
        <v>285</v>
      </c>
      <c r="F1321" s="467">
        <v>2000</v>
      </c>
      <c r="H1321" s="467" t="s">
        <v>3754</v>
      </c>
    </row>
    <row r="1322" spans="1:8" hidden="1">
      <c r="A1322" s="589" t="s">
        <v>635</v>
      </c>
      <c r="C1322" s="539" t="s">
        <v>636</v>
      </c>
      <c r="D1322" s="467" t="s">
        <v>285</v>
      </c>
      <c r="F1322" s="467">
        <v>2000</v>
      </c>
      <c r="H1322" s="467" t="s">
        <v>3754</v>
      </c>
    </row>
    <row r="1323" spans="1:8" hidden="1">
      <c r="A1323" s="589" t="s">
        <v>643</v>
      </c>
      <c r="C1323" s="539" t="s">
        <v>644</v>
      </c>
      <c r="D1323" s="467" t="s">
        <v>285</v>
      </c>
      <c r="F1323" s="467">
        <v>2000</v>
      </c>
      <c r="H1323" s="467" t="s">
        <v>3754</v>
      </c>
    </row>
    <row r="1324" spans="1:8" hidden="1">
      <c r="A1324" s="539" t="s">
        <v>652</v>
      </c>
      <c r="C1324" s="539" t="s">
        <v>653</v>
      </c>
      <c r="D1324" s="467" t="s">
        <v>654</v>
      </c>
      <c r="F1324" s="467">
        <v>2000</v>
      </c>
      <c r="H1324" s="467" t="s">
        <v>3754</v>
      </c>
    </row>
    <row r="1325" spans="1:8" hidden="1">
      <c r="A1325" s="539" t="s">
        <v>659</v>
      </c>
      <c r="C1325" s="539" t="s">
        <v>660</v>
      </c>
      <c r="D1325" s="467" t="s">
        <v>654</v>
      </c>
      <c r="F1325" s="467">
        <v>2000</v>
      </c>
      <c r="H1325" s="467" t="s">
        <v>3754</v>
      </c>
    </row>
    <row r="1326" spans="1:8" hidden="1">
      <c r="A1326" s="539" t="s">
        <v>663</v>
      </c>
      <c r="C1326" s="539" t="s">
        <v>664</v>
      </c>
      <c r="D1326" s="467" t="s">
        <v>654</v>
      </c>
      <c r="F1326" s="467">
        <v>2000</v>
      </c>
      <c r="H1326" s="467" t="s">
        <v>3754</v>
      </c>
    </row>
    <row r="1327" spans="1:8" hidden="1">
      <c r="A1327" s="539" t="s">
        <v>3757</v>
      </c>
      <c r="C1327" s="539" t="s">
        <v>3758</v>
      </c>
      <c r="D1327" s="467" t="s">
        <v>654</v>
      </c>
      <c r="F1327" s="467">
        <v>2000</v>
      </c>
      <c r="H1327" s="467" t="s">
        <v>3754</v>
      </c>
    </row>
    <row r="1328" spans="1:8" hidden="1">
      <c r="A1328" s="539" t="s">
        <v>667</v>
      </c>
      <c r="C1328" s="539" t="s">
        <v>668</v>
      </c>
      <c r="D1328" s="467" t="s">
        <v>654</v>
      </c>
      <c r="F1328" s="467">
        <v>2000</v>
      </c>
      <c r="H1328" s="467" t="s">
        <v>3754</v>
      </c>
    </row>
    <row r="1329" spans="1:8" hidden="1">
      <c r="A1329" s="539" t="s">
        <v>670</v>
      </c>
      <c r="C1329" s="539" t="s">
        <v>235</v>
      </c>
      <c r="D1329" s="467" t="s">
        <v>654</v>
      </c>
      <c r="F1329" s="467">
        <v>2000</v>
      </c>
      <c r="H1329" s="467" t="s">
        <v>3754</v>
      </c>
    </row>
    <row r="1330" spans="1:8" hidden="1">
      <c r="A1330" s="539" t="s">
        <v>673</v>
      </c>
      <c r="C1330" s="539" t="s">
        <v>674</v>
      </c>
      <c r="D1330" s="467" t="s">
        <v>654</v>
      </c>
      <c r="F1330" s="467">
        <v>2000</v>
      </c>
      <c r="H1330" s="467" t="s">
        <v>3754</v>
      </c>
    </row>
    <row r="1331" spans="1:8" hidden="1">
      <c r="A1331" s="539" t="s">
        <v>675</v>
      </c>
      <c r="C1331" s="539" t="s">
        <v>676</v>
      </c>
      <c r="D1331" s="467" t="s">
        <v>654</v>
      </c>
      <c r="F1331" s="467">
        <v>2000</v>
      </c>
      <c r="H1331" s="467" t="s">
        <v>3754</v>
      </c>
    </row>
    <row r="1332" spans="1:8" hidden="1">
      <c r="A1332" s="539" t="s">
        <v>679</v>
      </c>
      <c r="C1332" s="539" t="s">
        <v>680</v>
      </c>
      <c r="D1332" s="467" t="s">
        <v>654</v>
      </c>
      <c r="F1332" s="467">
        <v>2000</v>
      </c>
      <c r="H1332" s="467" t="s">
        <v>3754</v>
      </c>
    </row>
    <row r="1333" spans="1:8">
      <c r="A1333" s="539" t="s">
        <v>682</v>
      </c>
      <c r="C1333" s="539" t="s">
        <v>683</v>
      </c>
      <c r="D1333" s="467" t="s">
        <v>654</v>
      </c>
      <c r="F1333" s="467">
        <v>2000</v>
      </c>
      <c r="H1333" s="467" t="s">
        <v>3754</v>
      </c>
    </row>
    <row r="1334" spans="1:8">
      <c r="A1334" s="539" t="s">
        <v>686</v>
      </c>
      <c r="C1334" s="539" t="s">
        <v>687</v>
      </c>
      <c r="D1334" s="467" t="s">
        <v>654</v>
      </c>
      <c r="F1334" s="467">
        <v>2000</v>
      </c>
      <c r="H1334" s="467" t="s">
        <v>3754</v>
      </c>
    </row>
    <row r="1335" spans="1:8">
      <c r="A1335" s="539" t="s">
        <v>689</v>
      </c>
      <c r="C1335" s="539" t="s">
        <v>690</v>
      </c>
      <c r="D1335" s="467" t="s">
        <v>654</v>
      </c>
      <c r="F1335" s="467">
        <v>2000</v>
      </c>
      <c r="H1335" s="467" t="s">
        <v>3754</v>
      </c>
    </row>
    <row r="1336" spans="1:8" hidden="1">
      <c r="A1336" s="539" t="s">
        <v>692</v>
      </c>
      <c r="C1336" s="539" t="s">
        <v>693</v>
      </c>
      <c r="D1336" s="467" t="s">
        <v>654</v>
      </c>
      <c r="F1336" s="467">
        <v>2000</v>
      </c>
      <c r="H1336" s="467" t="s">
        <v>3754</v>
      </c>
    </row>
    <row r="1337" spans="1:8" hidden="1">
      <c r="A1337" s="539" t="s">
        <v>696</v>
      </c>
      <c r="C1337" s="539" t="s">
        <v>697</v>
      </c>
      <c r="D1337" s="467" t="s">
        <v>654</v>
      </c>
      <c r="F1337" s="467">
        <v>2000</v>
      </c>
      <c r="H1337" s="467" t="s">
        <v>3754</v>
      </c>
    </row>
    <row r="1338" spans="1:8" hidden="1">
      <c r="A1338" s="590" t="s">
        <v>812</v>
      </c>
      <c r="C1338" s="539" t="s">
        <v>813</v>
      </c>
      <c r="D1338" s="467" t="s">
        <v>285</v>
      </c>
      <c r="F1338" s="467">
        <v>2000</v>
      </c>
      <c r="H1338" s="467" t="s">
        <v>3754</v>
      </c>
    </row>
    <row r="1339" spans="1:8" hidden="1">
      <c r="A1339" s="590" t="s">
        <v>702</v>
      </c>
      <c r="C1339" s="539" t="s">
        <v>703</v>
      </c>
      <c r="D1339" s="467" t="s">
        <v>285</v>
      </c>
      <c r="F1339" s="467">
        <v>2000</v>
      </c>
      <c r="H1339" s="467" t="s">
        <v>3754</v>
      </c>
    </row>
    <row r="1340" spans="1:8" hidden="1">
      <c r="A1340" s="590" t="s">
        <v>712</v>
      </c>
      <c r="C1340" s="539" t="s">
        <v>713</v>
      </c>
      <c r="D1340" s="467" t="s">
        <v>285</v>
      </c>
      <c r="F1340" s="467">
        <v>2000</v>
      </c>
      <c r="H1340" s="467" t="s">
        <v>3754</v>
      </c>
    </row>
    <row r="1341" spans="1:8">
      <c r="A1341" s="590" t="s">
        <v>3759</v>
      </c>
      <c r="C1341" s="539" t="s">
        <v>716</v>
      </c>
      <c r="D1341" s="467" t="s">
        <v>285</v>
      </c>
      <c r="F1341" s="467">
        <v>2000</v>
      </c>
      <c r="H1341" s="467" t="s">
        <v>3754</v>
      </c>
    </row>
    <row r="1342" spans="1:8">
      <c r="A1342" s="590" t="s">
        <v>715</v>
      </c>
      <c r="C1342" s="539" t="s">
        <v>716</v>
      </c>
      <c r="D1342" s="467" t="s">
        <v>285</v>
      </c>
      <c r="F1342" s="467">
        <v>2000</v>
      </c>
      <c r="H1342" s="467" t="s">
        <v>3754</v>
      </c>
    </row>
    <row r="1343" spans="1:8">
      <c r="A1343" s="590" t="s">
        <v>720</v>
      </c>
      <c r="C1343" s="539" t="s">
        <v>721</v>
      </c>
      <c r="D1343" s="467" t="s">
        <v>285</v>
      </c>
      <c r="F1343" s="467">
        <v>2000</v>
      </c>
      <c r="H1343" s="467" t="s">
        <v>3754</v>
      </c>
    </row>
    <row r="1344" spans="1:8">
      <c r="A1344" s="590" t="s">
        <v>722</v>
      </c>
      <c r="C1344" s="539" t="s">
        <v>723</v>
      </c>
      <c r="D1344" s="467" t="s">
        <v>285</v>
      </c>
      <c r="F1344" s="467">
        <v>2000</v>
      </c>
      <c r="H1344" s="467" t="s">
        <v>3754</v>
      </c>
    </row>
    <row r="1345" spans="1:8">
      <c r="A1345" s="590" t="s">
        <v>725</v>
      </c>
      <c r="C1345" s="539" t="s">
        <v>726</v>
      </c>
      <c r="D1345" s="467" t="s">
        <v>285</v>
      </c>
      <c r="F1345" s="467">
        <v>2000</v>
      </c>
      <c r="H1345" s="467" t="s">
        <v>3754</v>
      </c>
    </row>
    <row r="1346" spans="1:8">
      <c r="A1346" s="590" t="s">
        <v>3760</v>
      </c>
      <c r="C1346" s="539" t="s">
        <v>726</v>
      </c>
      <c r="D1346" s="467" t="s">
        <v>285</v>
      </c>
      <c r="F1346" s="467">
        <v>2000</v>
      </c>
      <c r="H1346" s="467" t="s">
        <v>3754</v>
      </c>
    </row>
    <row r="1347" spans="1:8">
      <c r="A1347" s="590" t="s">
        <v>730</v>
      </c>
      <c r="C1347" s="539" t="s">
        <v>731</v>
      </c>
      <c r="D1347" s="467" t="s">
        <v>285</v>
      </c>
      <c r="F1347" s="467">
        <v>2000</v>
      </c>
      <c r="H1347" s="467" t="s">
        <v>3754</v>
      </c>
    </row>
    <row r="1348" spans="1:8" hidden="1">
      <c r="A1348" s="590" t="s">
        <v>732</v>
      </c>
      <c r="C1348" s="539" t="s">
        <v>733</v>
      </c>
      <c r="D1348" s="467" t="s">
        <v>285</v>
      </c>
      <c r="F1348" s="467">
        <v>2000</v>
      </c>
      <c r="H1348" s="467" t="s">
        <v>3754</v>
      </c>
    </row>
    <row r="1349" spans="1:8">
      <c r="A1349" s="590" t="s">
        <v>735</v>
      </c>
      <c r="C1349" s="539" t="s">
        <v>736</v>
      </c>
      <c r="D1349" s="467" t="s">
        <v>285</v>
      </c>
      <c r="F1349" s="467">
        <v>2000</v>
      </c>
      <c r="H1349" s="467" t="s">
        <v>3754</v>
      </c>
    </row>
    <row r="1350" spans="1:8">
      <c r="A1350" s="590" t="s">
        <v>740</v>
      </c>
      <c r="C1350" s="539" t="s">
        <v>741</v>
      </c>
      <c r="D1350" s="467" t="s">
        <v>285</v>
      </c>
      <c r="F1350" s="467">
        <v>2000</v>
      </c>
      <c r="H1350" s="467" t="s">
        <v>3754</v>
      </c>
    </row>
    <row r="1351" spans="1:8" hidden="1">
      <c r="A1351" s="590" t="s">
        <v>743</v>
      </c>
      <c r="C1351" s="539" t="s">
        <v>744</v>
      </c>
      <c r="D1351" s="467" t="s">
        <v>285</v>
      </c>
      <c r="F1351" s="467">
        <v>2000</v>
      </c>
      <c r="H1351" s="467" t="s">
        <v>3754</v>
      </c>
    </row>
    <row r="1352" spans="1:8" hidden="1">
      <c r="A1352" s="590" t="s">
        <v>745</v>
      </c>
      <c r="C1352" s="539" t="s">
        <v>746</v>
      </c>
      <c r="D1352" s="467" t="s">
        <v>285</v>
      </c>
      <c r="F1352" s="467">
        <v>2000</v>
      </c>
      <c r="H1352" s="467" t="s">
        <v>3754</v>
      </c>
    </row>
    <row r="1353" spans="1:8" hidden="1">
      <c r="A1353" s="590" t="s">
        <v>747</v>
      </c>
      <c r="C1353" s="539" t="s">
        <v>748</v>
      </c>
      <c r="D1353" s="467" t="s">
        <v>285</v>
      </c>
      <c r="F1353" s="467">
        <v>2000</v>
      </c>
      <c r="H1353" s="467" t="s">
        <v>3754</v>
      </c>
    </row>
    <row r="1354" spans="1:8" hidden="1">
      <c r="A1354" s="590" t="s">
        <v>749</v>
      </c>
      <c r="C1354" s="539" t="s">
        <v>750</v>
      </c>
      <c r="D1354" s="467" t="s">
        <v>285</v>
      </c>
      <c r="F1354" s="467">
        <v>2000</v>
      </c>
      <c r="H1354" s="467" t="s">
        <v>3754</v>
      </c>
    </row>
    <row r="1355" spans="1:8" hidden="1">
      <c r="A1355" s="590" t="s">
        <v>751</v>
      </c>
      <c r="C1355" s="539" t="s">
        <v>752</v>
      </c>
      <c r="D1355" s="467" t="s">
        <v>285</v>
      </c>
      <c r="F1355" s="467">
        <v>2000</v>
      </c>
      <c r="H1355" s="467" t="s">
        <v>3754</v>
      </c>
    </row>
    <row r="1356" spans="1:8" hidden="1">
      <c r="A1356" s="590" t="s">
        <v>756</v>
      </c>
      <c r="C1356" s="539" t="s">
        <v>757</v>
      </c>
      <c r="D1356" s="467" t="s">
        <v>285</v>
      </c>
      <c r="F1356" s="467">
        <v>2000</v>
      </c>
      <c r="H1356" s="467" t="s">
        <v>3754</v>
      </c>
    </row>
    <row r="1357" spans="1:8" hidden="1">
      <c r="A1357" s="590" t="s">
        <v>760</v>
      </c>
      <c r="C1357" s="539" t="s">
        <v>761</v>
      </c>
      <c r="D1357" s="467" t="s">
        <v>285</v>
      </c>
      <c r="F1357" s="467">
        <v>2000</v>
      </c>
      <c r="H1357" s="467" t="s">
        <v>3754</v>
      </c>
    </row>
    <row r="1358" spans="1:8">
      <c r="A1358" s="590" t="s">
        <v>245</v>
      </c>
      <c r="C1358" s="539" t="s">
        <v>762</v>
      </c>
      <c r="D1358" s="467" t="s">
        <v>285</v>
      </c>
      <c r="F1358" s="467">
        <v>2000</v>
      </c>
      <c r="H1358" s="467" t="s">
        <v>3754</v>
      </c>
    </row>
    <row r="1359" spans="1:8">
      <c r="A1359" s="590" t="s">
        <v>763</v>
      </c>
      <c r="C1359" s="539" t="s">
        <v>764</v>
      </c>
      <c r="D1359" s="467" t="s">
        <v>285</v>
      </c>
      <c r="F1359" s="467">
        <v>2000</v>
      </c>
      <c r="H1359" s="467" t="s">
        <v>3754</v>
      </c>
    </row>
    <row r="1360" spans="1:8" hidden="1">
      <c r="A1360" s="590" t="s">
        <v>765</v>
      </c>
      <c r="C1360" s="539" t="s">
        <v>766</v>
      </c>
      <c r="D1360" s="467" t="s">
        <v>285</v>
      </c>
      <c r="F1360" s="467">
        <v>2000</v>
      </c>
      <c r="H1360" s="467" t="s">
        <v>3754</v>
      </c>
    </row>
    <row r="1361" spans="1:8" hidden="1">
      <c r="A1361" s="590" t="s">
        <v>768</v>
      </c>
      <c r="C1361" s="539" t="s">
        <v>769</v>
      </c>
      <c r="D1361" s="467" t="s">
        <v>285</v>
      </c>
      <c r="F1361" s="467">
        <v>2000</v>
      </c>
      <c r="H1361" s="467" t="s">
        <v>3754</v>
      </c>
    </row>
    <row r="1362" spans="1:8" hidden="1">
      <c r="A1362" s="590" t="s">
        <v>771</v>
      </c>
      <c r="C1362" s="539" t="s">
        <v>772</v>
      </c>
      <c r="D1362" s="467" t="s">
        <v>285</v>
      </c>
      <c r="F1362" s="467">
        <v>2000</v>
      </c>
      <c r="H1362" s="467" t="s">
        <v>3754</v>
      </c>
    </row>
    <row r="1363" spans="1:8" hidden="1">
      <c r="A1363" s="590" t="s">
        <v>783</v>
      </c>
      <c r="C1363" s="539" t="s">
        <v>784</v>
      </c>
      <c r="D1363" s="467" t="s">
        <v>285</v>
      </c>
      <c r="F1363" s="467">
        <v>2000</v>
      </c>
      <c r="H1363" s="467" t="s">
        <v>3754</v>
      </c>
    </row>
    <row r="1364" spans="1:8" hidden="1">
      <c r="A1364" s="590" t="s">
        <v>786</v>
      </c>
      <c r="C1364" s="539" t="s">
        <v>787</v>
      </c>
      <c r="D1364" s="467" t="s">
        <v>285</v>
      </c>
      <c r="F1364" s="467">
        <v>2000</v>
      </c>
      <c r="H1364" s="467" t="s">
        <v>3754</v>
      </c>
    </row>
    <row r="1365" spans="1:8" hidden="1">
      <c r="A1365" s="590" t="s">
        <v>789</v>
      </c>
      <c r="C1365" s="539" t="s">
        <v>790</v>
      </c>
      <c r="D1365" s="467" t="s">
        <v>285</v>
      </c>
      <c r="F1365" s="467">
        <v>2000</v>
      </c>
      <c r="H1365" s="467" t="s">
        <v>3754</v>
      </c>
    </row>
    <row r="1366" spans="1:8" hidden="1">
      <c r="A1366" s="590" t="s">
        <v>792</v>
      </c>
      <c r="C1366" s="539" t="s">
        <v>793</v>
      </c>
      <c r="D1366" s="467" t="s">
        <v>285</v>
      </c>
      <c r="F1366" s="467">
        <v>2000</v>
      </c>
      <c r="H1366" s="467" t="s">
        <v>3754</v>
      </c>
    </row>
    <row r="1367" spans="1:8" hidden="1">
      <c r="A1367" s="590" t="s">
        <v>794</v>
      </c>
      <c r="C1367" s="539" t="s">
        <v>795</v>
      </c>
      <c r="D1367" s="467" t="s">
        <v>285</v>
      </c>
      <c r="F1367" s="467">
        <v>2000</v>
      </c>
      <c r="H1367" s="467" t="s">
        <v>3754</v>
      </c>
    </row>
    <row r="1368" spans="1:8" hidden="1">
      <c r="A1368" s="590" t="s">
        <v>796</v>
      </c>
      <c r="C1368" s="539" t="s">
        <v>797</v>
      </c>
      <c r="D1368" s="467" t="s">
        <v>285</v>
      </c>
      <c r="F1368" s="467">
        <v>2000</v>
      </c>
      <c r="H1368" s="467" t="s">
        <v>3754</v>
      </c>
    </row>
    <row r="1369" spans="1:8" hidden="1">
      <c r="A1369" s="590" t="s">
        <v>799</v>
      </c>
      <c r="C1369" s="539" t="s">
        <v>800</v>
      </c>
      <c r="D1369" s="467" t="s">
        <v>285</v>
      </c>
      <c r="F1369" s="467">
        <v>2000</v>
      </c>
      <c r="H1369" s="467" t="s">
        <v>3754</v>
      </c>
    </row>
    <row r="1370" spans="1:8" hidden="1">
      <c r="A1370" s="590" t="s">
        <v>804</v>
      </c>
      <c r="C1370" s="539" t="s">
        <v>805</v>
      </c>
      <c r="D1370" s="467" t="s">
        <v>285</v>
      </c>
      <c r="F1370" s="467">
        <v>2000</v>
      </c>
      <c r="H1370" s="467" t="s">
        <v>3754</v>
      </c>
    </row>
    <row r="1371" spans="1:8" hidden="1">
      <c r="A1371" s="590" t="s">
        <v>807</v>
      </c>
      <c r="C1371" s="539" t="s">
        <v>808</v>
      </c>
      <c r="D1371" s="467" t="s">
        <v>285</v>
      </c>
      <c r="F1371" s="467">
        <v>2000</v>
      </c>
      <c r="H1371" s="467" t="s">
        <v>3754</v>
      </c>
    </row>
    <row r="1372" spans="1:8" hidden="1">
      <c r="A1372" s="589" t="s">
        <v>810</v>
      </c>
      <c r="C1372" s="539" t="s">
        <v>811</v>
      </c>
      <c r="D1372" s="467" t="s">
        <v>285</v>
      </c>
      <c r="F1372" s="467">
        <v>2000</v>
      </c>
      <c r="H1372" s="467" t="s">
        <v>3754</v>
      </c>
    </row>
    <row r="1373" spans="1:8" hidden="1">
      <c r="A1373" s="589" t="s">
        <v>818</v>
      </c>
      <c r="C1373" s="539" t="s">
        <v>819</v>
      </c>
      <c r="D1373" s="467" t="s">
        <v>285</v>
      </c>
      <c r="F1373" s="467">
        <v>2000</v>
      </c>
      <c r="H1373" s="467" t="s">
        <v>3754</v>
      </c>
    </row>
    <row r="1374" spans="1:8" hidden="1">
      <c r="A1374" s="589" t="s">
        <v>828</v>
      </c>
      <c r="C1374" s="539" t="s">
        <v>829</v>
      </c>
      <c r="D1374" s="467" t="s">
        <v>285</v>
      </c>
      <c r="F1374" s="467">
        <v>2000</v>
      </c>
      <c r="H1374" s="467" t="s">
        <v>3754</v>
      </c>
    </row>
    <row r="1375" spans="1:8" hidden="1">
      <c r="A1375" s="589" t="s">
        <v>833</v>
      </c>
      <c r="C1375" s="539" t="s">
        <v>834</v>
      </c>
      <c r="D1375" s="467" t="s">
        <v>285</v>
      </c>
      <c r="F1375" s="467">
        <v>2000</v>
      </c>
      <c r="H1375" s="467" t="s">
        <v>3754</v>
      </c>
    </row>
    <row r="1376" spans="1:8" hidden="1">
      <c r="A1376" s="589" t="s">
        <v>836</v>
      </c>
      <c r="C1376" s="539" t="s">
        <v>837</v>
      </c>
      <c r="D1376" s="467" t="s">
        <v>285</v>
      </c>
      <c r="F1376" s="467">
        <v>2000</v>
      </c>
      <c r="H1376" s="467" t="s">
        <v>3754</v>
      </c>
    </row>
    <row r="1377" spans="1:8" hidden="1">
      <c r="A1377" s="589" t="s">
        <v>838</v>
      </c>
      <c r="C1377" s="539" t="s">
        <v>839</v>
      </c>
      <c r="D1377" s="467" t="s">
        <v>285</v>
      </c>
      <c r="F1377" s="467">
        <v>2000</v>
      </c>
      <c r="H1377" s="467" t="s">
        <v>3754</v>
      </c>
    </row>
    <row r="1378" spans="1:8" hidden="1">
      <c r="A1378" s="589" t="s">
        <v>842</v>
      </c>
      <c r="C1378" s="539" t="s">
        <v>843</v>
      </c>
      <c r="D1378" s="467" t="s">
        <v>285</v>
      </c>
      <c r="F1378" s="467">
        <v>2000</v>
      </c>
      <c r="H1378" s="467" t="s">
        <v>3754</v>
      </c>
    </row>
    <row r="1379" spans="1:8">
      <c r="A1379" s="589" t="s">
        <v>844</v>
      </c>
      <c r="C1379" s="539" t="s">
        <v>845</v>
      </c>
      <c r="D1379" s="467" t="s">
        <v>285</v>
      </c>
      <c r="F1379" s="467">
        <v>2000</v>
      </c>
      <c r="H1379" s="467" t="s">
        <v>3754</v>
      </c>
    </row>
    <row r="1380" spans="1:8">
      <c r="A1380" s="589" t="s">
        <v>846</v>
      </c>
      <c r="C1380" s="539" t="s">
        <v>847</v>
      </c>
      <c r="D1380" s="467" t="s">
        <v>285</v>
      </c>
      <c r="F1380" s="467">
        <v>2000</v>
      </c>
      <c r="H1380" s="467" t="s">
        <v>3754</v>
      </c>
    </row>
    <row r="1381" spans="1:8">
      <c r="A1381" s="589" t="s">
        <v>850</v>
      </c>
      <c r="C1381" s="539" t="s">
        <v>851</v>
      </c>
      <c r="D1381" s="467" t="s">
        <v>285</v>
      </c>
      <c r="F1381" s="467">
        <v>2000</v>
      </c>
      <c r="H1381" s="467" t="s">
        <v>3754</v>
      </c>
    </row>
    <row r="1382" spans="1:8">
      <c r="A1382" s="589" t="s">
        <v>852</v>
      </c>
      <c r="C1382" s="539" t="s">
        <v>853</v>
      </c>
      <c r="D1382" s="467" t="s">
        <v>285</v>
      </c>
      <c r="F1382" s="467">
        <v>2000</v>
      </c>
      <c r="H1382" s="467" t="s">
        <v>3754</v>
      </c>
    </row>
    <row r="1383" spans="1:8">
      <c r="A1383" s="589" t="s">
        <v>854</v>
      </c>
      <c r="C1383" s="539" t="s">
        <v>855</v>
      </c>
      <c r="D1383" s="467" t="s">
        <v>285</v>
      </c>
      <c r="F1383" s="467">
        <v>2000</v>
      </c>
      <c r="H1383" s="467" t="s">
        <v>3754</v>
      </c>
    </row>
    <row r="1384" spans="1:8" hidden="1">
      <c r="A1384" s="589" t="s">
        <v>856</v>
      </c>
      <c r="C1384" s="539" t="s">
        <v>857</v>
      </c>
      <c r="D1384" s="467" t="s">
        <v>285</v>
      </c>
      <c r="F1384" s="467">
        <v>2000</v>
      </c>
      <c r="H1384" s="467" t="s">
        <v>3754</v>
      </c>
    </row>
    <row r="1385" spans="1:8" hidden="1">
      <c r="A1385" s="589" t="s">
        <v>858</v>
      </c>
      <c r="C1385" s="539" t="s">
        <v>859</v>
      </c>
      <c r="D1385" s="467" t="s">
        <v>285</v>
      </c>
      <c r="F1385" s="467">
        <v>2000</v>
      </c>
      <c r="H1385" s="467" t="s">
        <v>3754</v>
      </c>
    </row>
    <row r="1386" spans="1:8" hidden="1">
      <c r="A1386" s="589" t="s">
        <v>860</v>
      </c>
      <c r="C1386" s="539" t="s">
        <v>861</v>
      </c>
      <c r="D1386" s="467" t="s">
        <v>285</v>
      </c>
      <c r="F1386" s="467">
        <v>2000</v>
      </c>
      <c r="H1386" s="467" t="s">
        <v>3754</v>
      </c>
    </row>
    <row r="1387" spans="1:8" hidden="1">
      <c r="A1387" s="589" t="s">
        <v>862</v>
      </c>
      <c r="C1387" s="539" t="s">
        <v>863</v>
      </c>
      <c r="D1387" s="467" t="s">
        <v>285</v>
      </c>
      <c r="F1387" s="467">
        <v>2000</v>
      </c>
      <c r="H1387" s="467" t="s">
        <v>3754</v>
      </c>
    </row>
    <row r="1388" spans="1:8" hidden="1">
      <c r="A1388" s="589" t="s">
        <v>864</v>
      </c>
      <c r="C1388" s="539" t="s">
        <v>865</v>
      </c>
      <c r="D1388" s="467" t="s">
        <v>285</v>
      </c>
      <c r="F1388" s="467">
        <v>2000</v>
      </c>
      <c r="H1388" s="467" t="s">
        <v>3754</v>
      </c>
    </row>
    <row r="1389" spans="1:8" hidden="1">
      <c r="A1389" s="589" t="s">
        <v>866</v>
      </c>
      <c r="C1389" s="539" t="s">
        <v>867</v>
      </c>
      <c r="D1389" s="467" t="s">
        <v>285</v>
      </c>
      <c r="F1389" s="467">
        <v>2000</v>
      </c>
      <c r="H1389" s="467" t="s">
        <v>3754</v>
      </c>
    </row>
    <row r="1390" spans="1:8" hidden="1">
      <c r="A1390" s="589" t="s">
        <v>872</v>
      </c>
      <c r="C1390" s="539" t="s">
        <v>873</v>
      </c>
      <c r="D1390" s="467" t="s">
        <v>285</v>
      </c>
      <c r="F1390" s="467">
        <v>2000</v>
      </c>
      <c r="H1390" s="467" t="s">
        <v>3754</v>
      </c>
    </row>
    <row r="1391" spans="1:8" hidden="1">
      <c r="A1391" s="589" t="s">
        <v>874</v>
      </c>
      <c r="C1391" s="539" t="s">
        <v>875</v>
      </c>
      <c r="D1391" s="467" t="s">
        <v>285</v>
      </c>
      <c r="F1391" s="467">
        <v>2000</v>
      </c>
      <c r="H1391" s="467" t="s">
        <v>3754</v>
      </c>
    </row>
    <row r="1392" spans="1:8">
      <c r="A1392" s="589" t="s">
        <v>877</v>
      </c>
      <c r="C1392" s="539" t="s">
        <v>878</v>
      </c>
      <c r="D1392" s="467" t="s">
        <v>285</v>
      </c>
      <c r="F1392" s="467">
        <v>2000</v>
      </c>
      <c r="H1392" s="467" t="s">
        <v>3754</v>
      </c>
    </row>
    <row r="1393" spans="1:8">
      <c r="A1393" s="589" t="s">
        <v>879</v>
      </c>
      <c r="C1393" s="539" t="s">
        <v>880</v>
      </c>
      <c r="D1393" s="467" t="s">
        <v>285</v>
      </c>
      <c r="F1393" s="467">
        <v>2000</v>
      </c>
      <c r="H1393" s="467" t="s">
        <v>3754</v>
      </c>
    </row>
    <row r="1394" spans="1:8">
      <c r="A1394" s="589" t="s">
        <v>881</v>
      </c>
      <c r="C1394" s="539" t="s">
        <v>882</v>
      </c>
      <c r="D1394" s="467" t="s">
        <v>285</v>
      </c>
      <c r="F1394" s="467">
        <v>2000</v>
      </c>
      <c r="H1394" s="467" t="s">
        <v>3754</v>
      </c>
    </row>
    <row r="1395" spans="1:8" hidden="1">
      <c r="A1395" s="589" t="s">
        <v>883</v>
      </c>
      <c r="C1395" s="539" t="s">
        <v>884</v>
      </c>
      <c r="D1395" s="467" t="s">
        <v>285</v>
      </c>
      <c r="F1395" s="467">
        <v>2000</v>
      </c>
      <c r="H1395" s="467" t="s">
        <v>3754</v>
      </c>
    </row>
    <row r="1396" spans="1:8" hidden="1">
      <c r="A1396" s="589" t="s">
        <v>885</v>
      </c>
      <c r="C1396" s="539" t="s">
        <v>886</v>
      </c>
      <c r="D1396" s="467" t="s">
        <v>285</v>
      </c>
      <c r="F1396" s="467">
        <v>2000</v>
      </c>
      <c r="H1396" s="467" t="s">
        <v>3754</v>
      </c>
    </row>
    <row r="1397" spans="1:8" hidden="1">
      <c r="A1397" s="589" t="s">
        <v>888</v>
      </c>
      <c r="C1397" s="539" t="s">
        <v>889</v>
      </c>
      <c r="D1397" s="467" t="s">
        <v>285</v>
      </c>
      <c r="F1397" s="467">
        <v>2000</v>
      </c>
      <c r="H1397" s="467" t="s">
        <v>3754</v>
      </c>
    </row>
    <row r="1398" spans="1:8" hidden="1">
      <c r="A1398" s="589" t="s">
        <v>890</v>
      </c>
      <c r="C1398" s="539" t="s">
        <v>891</v>
      </c>
      <c r="D1398" s="467" t="s">
        <v>285</v>
      </c>
      <c r="F1398" s="467">
        <v>2000</v>
      </c>
      <c r="H1398" s="467" t="s">
        <v>3754</v>
      </c>
    </row>
    <row r="1399" spans="1:8" hidden="1">
      <c r="A1399" s="589" t="s">
        <v>892</v>
      </c>
      <c r="C1399" s="539" t="s">
        <v>893</v>
      </c>
      <c r="D1399" s="467" t="s">
        <v>285</v>
      </c>
      <c r="F1399" s="467">
        <v>2000</v>
      </c>
      <c r="H1399" s="467" t="s">
        <v>3754</v>
      </c>
    </row>
    <row r="1400" spans="1:8" hidden="1">
      <c r="A1400" s="589" t="s">
        <v>894</v>
      </c>
      <c r="C1400" s="539" t="s">
        <v>895</v>
      </c>
      <c r="D1400" s="467" t="s">
        <v>285</v>
      </c>
      <c r="F1400" s="467">
        <v>2000</v>
      </c>
      <c r="H1400" s="467" t="s">
        <v>3754</v>
      </c>
    </row>
    <row r="1401" spans="1:8" hidden="1">
      <c r="A1401" s="589" t="s">
        <v>896</v>
      </c>
      <c r="C1401" s="539" t="s">
        <v>897</v>
      </c>
      <c r="D1401" s="467" t="s">
        <v>285</v>
      </c>
      <c r="F1401" s="467">
        <v>2000</v>
      </c>
      <c r="H1401" s="467" t="s">
        <v>3754</v>
      </c>
    </row>
    <row r="1402" spans="1:8" hidden="1">
      <c r="A1402" s="589" t="s">
        <v>902</v>
      </c>
      <c r="C1402" s="539" t="s">
        <v>903</v>
      </c>
      <c r="D1402" s="467" t="s">
        <v>285</v>
      </c>
      <c r="F1402" s="467">
        <v>2000</v>
      </c>
      <c r="H1402" s="467" t="s">
        <v>3754</v>
      </c>
    </row>
    <row r="1403" spans="1:8" hidden="1">
      <c r="A1403" s="589" t="s">
        <v>904</v>
      </c>
      <c r="C1403" s="539" t="s">
        <v>905</v>
      </c>
      <c r="D1403" s="467" t="s">
        <v>285</v>
      </c>
      <c r="F1403" s="467">
        <v>2000</v>
      </c>
      <c r="H1403" s="467" t="s">
        <v>3754</v>
      </c>
    </row>
    <row r="1404" spans="1:8" hidden="1">
      <c r="A1404" s="589" t="s">
        <v>910</v>
      </c>
      <c r="C1404" s="539" t="s">
        <v>911</v>
      </c>
      <c r="D1404" s="467" t="s">
        <v>285</v>
      </c>
      <c r="F1404" s="467">
        <v>2000</v>
      </c>
      <c r="H1404" s="467" t="s">
        <v>3754</v>
      </c>
    </row>
    <row r="1405" spans="1:8" hidden="1">
      <c r="A1405" s="589" t="s">
        <v>913</v>
      </c>
      <c r="C1405" s="539" t="s">
        <v>914</v>
      </c>
      <c r="D1405" s="467" t="s">
        <v>285</v>
      </c>
      <c r="F1405" s="467">
        <v>2000</v>
      </c>
      <c r="H1405" s="467" t="s">
        <v>3754</v>
      </c>
    </row>
    <row r="1406" spans="1:8" hidden="1">
      <c r="A1406" s="589" t="s">
        <v>917</v>
      </c>
      <c r="C1406" s="539" t="s">
        <v>918</v>
      </c>
      <c r="D1406" s="467" t="s">
        <v>285</v>
      </c>
      <c r="F1406" s="467">
        <v>2000</v>
      </c>
      <c r="H1406" s="467" t="s">
        <v>3754</v>
      </c>
    </row>
    <row r="1407" spans="1:8" hidden="1">
      <c r="A1407" s="589" t="s">
        <v>919</v>
      </c>
      <c r="C1407" s="539" t="s">
        <v>920</v>
      </c>
      <c r="D1407" s="467" t="s">
        <v>285</v>
      </c>
      <c r="F1407" s="467">
        <v>2000</v>
      </c>
      <c r="H1407" s="467" t="s">
        <v>3754</v>
      </c>
    </row>
    <row r="1408" spans="1:8" hidden="1">
      <c r="A1408" s="589" t="s">
        <v>922</v>
      </c>
      <c r="C1408" s="539" t="s">
        <v>923</v>
      </c>
      <c r="D1408" s="467" t="s">
        <v>285</v>
      </c>
      <c r="F1408" s="467">
        <v>2000</v>
      </c>
      <c r="H1408" s="467" t="s">
        <v>3754</v>
      </c>
    </row>
    <row r="1409" spans="1:8" hidden="1">
      <c r="A1409" s="589" t="s">
        <v>924</v>
      </c>
      <c r="C1409" s="539" t="s">
        <v>925</v>
      </c>
      <c r="D1409" s="467" t="s">
        <v>285</v>
      </c>
      <c r="F1409" s="467">
        <v>2000</v>
      </c>
      <c r="H1409" s="467" t="s">
        <v>3754</v>
      </c>
    </row>
    <row r="1410" spans="1:8" hidden="1">
      <c r="A1410" s="589" t="s">
        <v>927</v>
      </c>
      <c r="C1410" s="539" t="s">
        <v>928</v>
      </c>
      <c r="D1410" s="467" t="s">
        <v>285</v>
      </c>
      <c r="F1410" s="467">
        <v>2000</v>
      </c>
      <c r="H1410" s="467" t="s">
        <v>3754</v>
      </c>
    </row>
    <row r="1411" spans="1:8" hidden="1">
      <c r="A1411" s="539" t="s">
        <v>931</v>
      </c>
      <c r="C1411" s="539" t="s">
        <v>933</v>
      </c>
      <c r="D1411" s="467" t="s">
        <v>934</v>
      </c>
      <c r="F1411" s="467">
        <v>2000</v>
      </c>
      <c r="H1411" s="467" t="s">
        <v>3754</v>
      </c>
    </row>
    <row r="1412" spans="1:8" hidden="1">
      <c r="A1412" s="539" t="s">
        <v>1062</v>
      </c>
      <c r="C1412" s="539" t="s">
        <v>1064</v>
      </c>
      <c r="D1412" s="467" t="s">
        <v>934</v>
      </c>
      <c r="F1412" s="467">
        <v>2000</v>
      </c>
      <c r="H1412" s="467" t="s">
        <v>3754</v>
      </c>
    </row>
    <row r="1413" spans="1:8" hidden="1">
      <c r="A1413" s="539" t="s">
        <v>1077</v>
      </c>
      <c r="C1413" s="539" t="s">
        <v>1078</v>
      </c>
      <c r="D1413" s="467" t="s">
        <v>934</v>
      </c>
      <c r="F1413" s="467">
        <v>2000</v>
      </c>
      <c r="H1413" s="467" t="s">
        <v>3754</v>
      </c>
    </row>
    <row r="1414" spans="1:8" hidden="1">
      <c r="A1414" s="539" t="s">
        <v>1147</v>
      </c>
      <c r="C1414" s="539" t="s">
        <v>3761</v>
      </c>
      <c r="D1414" s="467" t="s">
        <v>934</v>
      </c>
      <c r="F1414" s="467">
        <v>2000</v>
      </c>
      <c r="H1414" s="467" t="s">
        <v>3754</v>
      </c>
    </row>
    <row r="1415" spans="1:8" hidden="1">
      <c r="A1415" s="539" t="s">
        <v>1160</v>
      </c>
      <c r="C1415" s="539" t="s">
        <v>1161</v>
      </c>
      <c r="D1415" s="467" t="s">
        <v>934</v>
      </c>
      <c r="F1415" s="467">
        <v>2000</v>
      </c>
      <c r="H1415" s="467" t="s">
        <v>3754</v>
      </c>
    </row>
    <row r="1416" spans="1:8" hidden="1">
      <c r="A1416" s="539" t="s">
        <v>1242</v>
      </c>
      <c r="C1416" s="539" t="s">
        <v>1244</v>
      </c>
      <c r="D1416" s="467" t="s">
        <v>934</v>
      </c>
      <c r="F1416" s="467">
        <v>2000</v>
      </c>
      <c r="H1416" s="467" t="s">
        <v>3754</v>
      </c>
    </row>
    <row r="1417" spans="1:8" hidden="1">
      <c r="A1417" s="539" t="s">
        <v>438</v>
      </c>
      <c r="C1417" s="539" t="s">
        <v>1251</v>
      </c>
      <c r="D1417" s="467" t="s">
        <v>934</v>
      </c>
      <c r="F1417" s="467">
        <v>2000</v>
      </c>
      <c r="H1417" s="467" t="s">
        <v>3754</v>
      </c>
    </row>
    <row r="1418" spans="1:8" hidden="1">
      <c r="A1418" s="539" t="s">
        <v>1289</v>
      </c>
      <c r="C1418" s="539" t="s">
        <v>1291</v>
      </c>
      <c r="F1418" s="467">
        <v>2000</v>
      </c>
      <c r="H1418" s="467" t="s">
        <v>3754</v>
      </c>
    </row>
    <row r="1419" spans="1:8" hidden="1">
      <c r="A1419" s="539" t="s">
        <v>1299</v>
      </c>
      <c r="C1419" s="539" t="s">
        <v>1301</v>
      </c>
      <c r="F1419" s="467">
        <v>2000</v>
      </c>
      <c r="H1419" s="467" t="s">
        <v>3754</v>
      </c>
    </row>
    <row r="1420" spans="1:8" hidden="1">
      <c r="A1420" s="539" t="s">
        <v>1309</v>
      </c>
      <c r="C1420" s="539" t="s">
        <v>1310</v>
      </c>
      <c r="F1420" s="467">
        <v>2000</v>
      </c>
      <c r="H1420" s="467" t="s">
        <v>3754</v>
      </c>
    </row>
    <row r="1421" spans="1:8" hidden="1">
      <c r="A1421" s="539" t="s">
        <v>1313</v>
      </c>
      <c r="C1421" s="539" t="s">
        <v>1314</v>
      </c>
      <c r="F1421" s="467">
        <v>2000</v>
      </c>
      <c r="H1421" s="467" t="s">
        <v>3754</v>
      </c>
    </row>
    <row r="1422" spans="1:8" hidden="1">
      <c r="A1422" s="539" t="s">
        <v>1322</v>
      </c>
      <c r="C1422" s="539" t="s">
        <v>1324</v>
      </c>
      <c r="F1422" s="467">
        <v>2000</v>
      </c>
      <c r="H1422" s="467" t="s">
        <v>3754</v>
      </c>
    </row>
    <row r="1423" spans="1:8" hidden="1">
      <c r="A1423" s="539" t="s">
        <v>1341</v>
      </c>
      <c r="C1423" s="539" t="s">
        <v>1342</v>
      </c>
      <c r="F1423" s="467">
        <v>2000</v>
      </c>
      <c r="H1423" s="467" t="s">
        <v>3754</v>
      </c>
    </row>
    <row r="1424" spans="1:8" hidden="1">
      <c r="A1424" s="539" t="s">
        <v>1345</v>
      </c>
      <c r="C1424" s="539" t="s">
        <v>1346</v>
      </c>
      <c r="F1424" s="467">
        <v>2000</v>
      </c>
      <c r="H1424" s="467" t="s">
        <v>3754</v>
      </c>
    </row>
    <row r="1425" spans="1:8" hidden="1">
      <c r="A1425" s="539" t="s">
        <v>1351</v>
      </c>
      <c r="C1425" s="539" t="s">
        <v>1353</v>
      </c>
      <c r="F1425" s="467">
        <v>2000</v>
      </c>
      <c r="H1425" s="467" t="s">
        <v>3754</v>
      </c>
    </row>
    <row r="1426" spans="1:8" hidden="1">
      <c r="A1426" s="539" t="s">
        <v>1354</v>
      </c>
      <c r="C1426" s="539" t="s">
        <v>1355</v>
      </c>
      <c r="D1426" s="467" t="s">
        <v>1356</v>
      </c>
      <c r="F1426" s="467">
        <v>2000</v>
      </c>
      <c r="H1426" s="467" t="s">
        <v>3754</v>
      </c>
    </row>
    <row r="1427" spans="1:8">
      <c r="A1427" s="539" t="s">
        <v>1369</v>
      </c>
      <c r="C1427" s="539" t="s">
        <v>1370</v>
      </c>
      <c r="D1427" s="467" t="s">
        <v>1371</v>
      </c>
      <c r="F1427" s="467">
        <v>2000</v>
      </c>
      <c r="H1427" s="467" t="s">
        <v>3754</v>
      </c>
    </row>
    <row r="1428" spans="1:8">
      <c r="A1428" s="539" t="s">
        <v>1377</v>
      </c>
      <c r="C1428" s="539" t="s">
        <v>1378</v>
      </c>
      <c r="D1428" s="467" t="s">
        <v>446</v>
      </c>
      <c r="F1428" s="467">
        <v>2000</v>
      </c>
      <c r="H1428" s="467" t="s">
        <v>3754</v>
      </c>
    </row>
    <row r="1429" spans="1:8" ht="16.8" hidden="1">
      <c r="A1429" s="591" t="s">
        <v>949</v>
      </c>
      <c r="C1429" s="539" t="s">
        <v>950</v>
      </c>
      <c r="D1429" s="467" t="s">
        <v>775</v>
      </c>
      <c r="F1429" s="467">
        <v>2000</v>
      </c>
      <c r="H1429" s="467" t="s">
        <v>3754</v>
      </c>
    </row>
    <row r="1430" spans="1:8" ht="16.8" hidden="1">
      <c r="A1430" s="591" t="s">
        <v>952</v>
      </c>
      <c r="C1430" s="539" t="s">
        <v>953</v>
      </c>
      <c r="D1430" s="467" t="s">
        <v>775</v>
      </c>
      <c r="F1430" s="467">
        <v>2000</v>
      </c>
      <c r="H1430" s="467" t="s">
        <v>3754</v>
      </c>
    </row>
    <row r="1431" spans="1:8" ht="16.8" hidden="1">
      <c r="A1431" s="591" t="s">
        <v>955</v>
      </c>
      <c r="C1431" s="539" t="s">
        <v>956</v>
      </c>
      <c r="D1431" s="467" t="s">
        <v>775</v>
      </c>
      <c r="F1431" s="467">
        <v>2000</v>
      </c>
      <c r="H1431" s="467" t="s">
        <v>3754</v>
      </c>
    </row>
    <row r="1432" spans="1:8" ht="16.8" hidden="1">
      <c r="A1432" s="591" t="s">
        <v>959</v>
      </c>
      <c r="C1432" s="539" t="s">
        <v>960</v>
      </c>
      <c r="D1432" s="467" t="s">
        <v>775</v>
      </c>
      <c r="F1432" s="467">
        <v>2000</v>
      </c>
      <c r="H1432" s="467" t="s">
        <v>3754</v>
      </c>
    </row>
    <row r="1433" spans="1:8" ht="16.8" hidden="1">
      <c r="A1433" s="591" t="s">
        <v>961</v>
      </c>
      <c r="C1433" s="539" t="s">
        <v>962</v>
      </c>
      <c r="D1433" s="467" t="s">
        <v>775</v>
      </c>
      <c r="F1433" s="467">
        <v>2000</v>
      </c>
      <c r="H1433" s="467" t="s">
        <v>3754</v>
      </c>
    </row>
    <row r="1434" spans="1:8" ht="16.8" hidden="1">
      <c r="A1434" s="591" t="s">
        <v>965</v>
      </c>
      <c r="C1434" s="539" t="s">
        <v>966</v>
      </c>
      <c r="D1434" s="467" t="s">
        <v>775</v>
      </c>
      <c r="F1434" s="467">
        <v>2000</v>
      </c>
      <c r="H1434" s="467" t="s">
        <v>3754</v>
      </c>
    </row>
    <row r="1435" spans="1:8" ht="16.8" hidden="1">
      <c r="A1435" s="591" t="s">
        <v>967</v>
      </c>
      <c r="C1435" s="539" t="s">
        <v>968</v>
      </c>
      <c r="D1435" s="467" t="s">
        <v>775</v>
      </c>
      <c r="F1435" s="467">
        <v>2000</v>
      </c>
      <c r="H1435" s="467" t="s">
        <v>3754</v>
      </c>
    </row>
    <row r="1436" spans="1:8" ht="16.8" hidden="1">
      <c r="A1436" s="591" t="s">
        <v>970</v>
      </c>
      <c r="C1436" s="539" t="s">
        <v>971</v>
      </c>
      <c r="D1436" s="467" t="s">
        <v>775</v>
      </c>
      <c r="F1436" s="467">
        <v>2000</v>
      </c>
      <c r="H1436" s="467" t="s">
        <v>3754</v>
      </c>
    </row>
    <row r="1437" spans="1:8" ht="16.8" hidden="1">
      <c r="A1437" s="591" t="s">
        <v>977</v>
      </c>
      <c r="C1437" s="539" t="s">
        <v>978</v>
      </c>
      <c r="D1437" s="467" t="s">
        <v>775</v>
      </c>
      <c r="F1437" s="467">
        <v>2000</v>
      </c>
      <c r="H1437" s="467" t="s">
        <v>3754</v>
      </c>
    </row>
    <row r="1438" spans="1:8" ht="16.8" hidden="1">
      <c r="A1438" s="591" t="s">
        <v>980</v>
      </c>
      <c r="C1438" s="539" t="s">
        <v>981</v>
      </c>
      <c r="D1438" s="467" t="s">
        <v>775</v>
      </c>
      <c r="F1438" s="467">
        <v>2000</v>
      </c>
      <c r="H1438" s="467" t="s">
        <v>3754</v>
      </c>
    </row>
    <row r="1439" spans="1:8" ht="16.8" hidden="1">
      <c r="A1439" s="591" t="s">
        <v>1068</v>
      </c>
      <c r="C1439" s="539" t="s">
        <v>1069</v>
      </c>
      <c r="D1439" s="467" t="s">
        <v>775</v>
      </c>
      <c r="F1439" s="467">
        <v>2000</v>
      </c>
      <c r="H1439" s="467" t="s">
        <v>3754</v>
      </c>
    </row>
    <row r="1440" spans="1:8" ht="16.8" hidden="1">
      <c r="A1440" s="591" t="s">
        <v>1083</v>
      </c>
      <c r="C1440" s="539" t="s">
        <v>1084</v>
      </c>
      <c r="D1440" s="467" t="s">
        <v>775</v>
      </c>
      <c r="F1440" s="467">
        <v>2000</v>
      </c>
      <c r="H1440" s="467" t="s">
        <v>3754</v>
      </c>
    </row>
    <row r="1441" spans="1:8" ht="16.8" hidden="1">
      <c r="A1441" s="591" t="s">
        <v>1086</v>
      </c>
      <c r="C1441" s="539" t="s">
        <v>1087</v>
      </c>
      <c r="D1441" s="467" t="s">
        <v>775</v>
      </c>
      <c r="F1441" s="467">
        <v>2000</v>
      </c>
      <c r="H1441" s="467" t="s">
        <v>3754</v>
      </c>
    </row>
    <row r="1442" spans="1:8" ht="16.8" hidden="1">
      <c r="A1442" s="591" t="s">
        <v>1088</v>
      </c>
      <c r="C1442" s="539" t="s">
        <v>1089</v>
      </c>
      <c r="D1442" s="467" t="s">
        <v>775</v>
      </c>
      <c r="F1442" s="467">
        <v>2000</v>
      </c>
      <c r="H1442" s="467" t="s">
        <v>3754</v>
      </c>
    </row>
    <row r="1443" spans="1:8" ht="16.8" hidden="1">
      <c r="A1443" s="591" t="s">
        <v>1093</v>
      </c>
      <c r="C1443" s="539" t="s">
        <v>981</v>
      </c>
      <c r="D1443" s="467" t="s">
        <v>775</v>
      </c>
      <c r="F1443" s="467">
        <v>2000</v>
      </c>
      <c r="H1443" s="467" t="s">
        <v>3754</v>
      </c>
    </row>
    <row r="1444" spans="1:8" ht="16.8" hidden="1">
      <c r="A1444" s="591" t="s">
        <v>1096</v>
      </c>
      <c r="C1444" s="539" t="s">
        <v>1097</v>
      </c>
      <c r="D1444" s="467" t="s">
        <v>775</v>
      </c>
      <c r="F1444" s="467">
        <v>2000</v>
      </c>
      <c r="H1444" s="467" t="s">
        <v>3754</v>
      </c>
    </row>
    <row r="1445" spans="1:8" hidden="1"/>
    <row r="1446" spans="1:8" hidden="1"/>
    <row r="1447" spans="1:8" hidden="1"/>
    <row r="1448" spans="1:8" hidden="1"/>
    <row r="1449" spans="1:8">
      <c r="A1449" s="539" t="s">
        <v>3762</v>
      </c>
      <c r="C1449" s="539" t="s">
        <v>3763</v>
      </c>
      <c r="D1449" s="467" t="s">
        <v>1808</v>
      </c>
      <c r="F1449" s="467">
        <v>2000</v>
      </c>
      <c r="H1449" s="467">
        <v>0.87</v>
      </c>
    </row>
    <row r="1450" spans="1:8" hidden="1">
      <c r="A1450" s="539" t="s">
        <v>3764</v>
      </c>
      <c r="C1450" s="539" t="s">
        <v>3765</v>
      </c>
      <c r="D1450" s="467" t="s">
        <v>1808</v>
      </c>
      <c r="F1450" s="467">
        <v>1999</v>
      </c>
      <c r="H1450" s="467">
        <v>1.5100000000000001E-2</v>
      </c>
    </row>
    <row r="1451" spans="1:8" hidden="1">
      <c r="A1451" s="539" t="s">
        <v>3766</v>
      </c>
      <c r="C1451" s="539" t="s">
        <v>3767</v>
      </c>
      <c r="D1451" s="467" t="s">
        <v>1808</v>
      </c>
      <c r="F1451" s="467">
        <v>1999</v>
      </c>
      <c r="H1451" s="467">
        <v>9.4999999999999998E-3</v>
      </c>
    </row>
    <row r="1452" spans="1:8" hidden="1">
      <c r="A1452" s="539" t="s">
        <v>3768</v>
      </c>
      <c r="C1452" s="539" t="s">
        <v>3769</v>
      </c>
      <c r="D1452" s="467" t="s">
        <v>1808</v>
      </c>
      <c r="F1452" s="467">
        <v>1999</v>
      </c>
      <c r="H1452" s="467">
        <v>3.56E-2</v>
      </c>
    </row>
    <row r="1453" spans="1:8" hidden="1">
      <c r="A1453" s="539" t="s">
        <v>3770</v>
      </c>
      <c r="C1453" s="539" t="s">
        <v>3771</v>
      </c>
      <c r="D1453" s="467" t="s">
        <v>1808</v>
      </c>
      <c r="F1453" s="467">
        <v>2000</v>
      </c>
      <c r="H1453" s="467">
        <v>1.93</v>
      </c>
    </row>
    <row r="1454" spans="1:8" hidden="1">
      <c r="A1454" s="539" t="s">
        <v>3772</v>
      </c>
      <c r="C1454" s="539" t="s">
        <v>3773</v>
      </c>
      <c r="D1454" s="467" t="s">
        <v>775</v>
      </c>
      <c r="F1454" s="467">
        <v>50</v>
      </c>
      <c r="H1454" s="467">
        <v>1</v>
      </c>
    </row>
    <row r="1455" spans="1:8" hidden="1">
      <c r="A1455" s="539" t="s">
        <v>3774</v>
      </c>
      <c r="C1455" s="539" t="s">
        <v>3775</v>
      </c>
      <c r="D1455" s="467" t="s">
        <v>3776</v>
      </c>
      <c r="F1455" s="467">
        <v>997</v>
      </c>
      <c r="H1455" s="467">
        <v>4.4999999999999998E-2</v>
      </c>
    </row>
    <row r="1456" spans="1:8">
      <c r="A1456" s="539" t="s">
        <v>3777</v>
      </c>
      <c r="C1456" s="539" t="s">
        <v>3778</v>
      </c>
      <c r="D1456" s="467" t="s">
        <v>408</v>
      </c>
      <c r="F1456" s="467">
        <v>2</v>
      </c>
      <c r="H1456" s="467">
        <v>1</v>
      </c>
    </row>
    <row r="1457" spans="1:8">
      <c r="A1457" s="539" t="s">
        <v>3779</v>
      </c>
      <c r="C1457" s="539" t="s">
        <v>3780</v>
      </c>
      <c r="D1457" s="467" t="s">
        <v>3781</v>
      </c>
      <c r="F1457" s="467">
        <v>50</v>
      </c>
      <c r="H1457" s="467">
        <v>2</v>
      </c>
    </row>
    <row r="1458" spans="1:8" hidden="1">
      <c r="A1458" s="539" t="s">
        <v>3782</v>
      </c>
      <c r="C1458" s="539" t="s">
        <v>3783</v>
      </c>
      <c r="D1458" s="467" t="s">
        <v>3781</v>
      </c>
      <c r="F1458" s="467">
        <v>50</v>
      </c>
      <c r="H1458" s="467">
        <v>4</v>
      </c>
    </row>
    <row r="1459" spans="1:8">
      <c r="A1459" s="539" t="s">
        <v>3784</v>
      </c>
      <c r="C1459" s="539" t="s">
        <v>3785</v>
      </c>
      <c r="D1459" s="467" t="s">
        <v>3781</v>
      </c>
      <c r="F1459" s="467">
        <v>50</v>
      </c>
      <c r="H1459" s="467">
        <v>1</v>
      </c>
    </row>
    <row r="1460" spans="1:8" hidden="1">
      <c r="A1460" s="539" t="s">
        <v>3786</v>
      </c>
      <c r="C1460" s="539" t="s">
        <v>3787</v>
      </c>
      <c r="D1460" s="467" t="s">
        <v>3781</v>
      </c>
      <c r="F1460" s="467">
        <v>50</v>
      </c>
      <c r="H1460" s="467">
        <v>1</v>
      </c>
    </row>
    <row r="1461" spans="1:8">
      <c r="A1461" s="539" t="s">
        <v>3788</v>
      </c>
      <c r="C1461" s="539" t="s">
        <v>3789</v>
      </c>
      <c r="D1461" s="467" t="s">
        <v>775</v>
      </c>
      <c r="F1461" s="467">
        <v>2000</v>
      </c>
      <c r="H1461" s="467">
        <v>1</v>
      </c>
    </row>
    <row r="1462" spans="1:8">
      <c r="A1462" s="539" t="s">
        <v>3790</v>
      </c>
      <c r="C1462" s="539" t="s">
        <v>3791</v>
      </c>
      <c r="D1462" s="467" t="s">
        <v>775</v>
      </c>
      <c r="F1462" s="467">
        <v>2000</v>
      </c>
      <c r="H1462" s="467">
        <v>1</v>
      </c>
    </row>
    <row r="1463" spans="1:8" hidden="1">
      <c r="A1463" s="539" t="s">
        <v>3792</v>
      </c>
      <c r="C1463" s="539" t="s">
        <v>3793</v>
      </c>
      <c r="D1463" s="467" t="s">
        <v>281</v>
      </c>
      <c r="F1463" s="467">
        <v>50</v>
      </c>
      <c r="H1463" s="467">
        <v>1</v>
      </c>
    </row>
    <row r="1464" spans="1:8" hidden="1">
      <c r="A1464" s="539" t="s">
        <v>3794</v>
      </c>
      <c r="C1464" s="539" t="s">
        <v>3795</v>
      </c>
      <c r="D1464" s="467" t="s">
        <v>411</v>
      </c>
      <c r="F1464" s="467">
        <v>50</v>
      </c>
      <c r="H1464" s="467">
        <v>162</v>
      </c>
    </row>
    <row r="1465" spans="1:8" hidden="1">
      <c r="A1465" s="539" t="s">
        <v>3796</v>
      </c>
      <c r="C1465" s="539" t="s">
        <v>3797</v>
      </c>
      <c r="D1465" s="467" t="s">
        <v>281</v>
      </c>
      <c r="F1465" s="467">
        <v>50</v>
      </c>
      <c r="H1465" s="467">
        <v>96</v>
      </c>
    </row>
    <row r="1466" spans="1:8" hidden="1">
      <c r="A1466" s="539" t="s">
        <v>3798</v>
      </c>
      <c r="C1466" s="539" t="s">
        <v>3799</v>
      </c>
      <c r="D1466" s="467" t="s">
        <v>281</v>
      </c>
      <c r="F1466" s="467">
        <v>50</v>
      </c>
      <c r="H1466" s="467">
        <v>19</v>
      </c>
    </row>
    <row r="1467" spans="1:8" hidden="1">
      <c r="A1467" s="539" t="s">
        <v>3800</v>
      </c>
      <c r="C1467" s="539" t="s">
        <v>3801</v>
      </c>
      <c r="D1467" s="467" t="s">
        <v>281</v>
      </c>
      <c r="F1467" s="467">
        <v>50</v>
      </c>
      <c r="H1467" s="467">
        <v>10</v>
      </c>
    </row>
    <row r="1468" spans="1:8" hidden="1">
      <c r="A1468" s="539" t="s">
        <v>3802</v>
      </c>
      <c r="C1468" s="539" t="s">
        <v>3803</v>
      </c>
      <c r="D1468" s="467" t="s">
        <v>281</v>
      </c>
      <c r="F1468" s="467">
        <v>50</v>
      </c>
      <c r="H1468" s="467">
        <v>70</v>
      </c>
    </row>
    <row r="1469" spans="1:8" hidden="1">
      <c r="A1469" s="539" t="s">
        <v>3804</v>
      </c>
      <c r="C1469" s="539" t="s">
        <v>3805</v>
      </c>
      <c r="D1469" s="467" t="s">
        <v>281</v>
      </c>
      <c r="F1469" s="467">
        <v>50</v>
      </c>
      <c r="H1469" s="467">
        <v>100</v>
      </c>
    </row>
    <row r="1470" spans="1:8" hidden="1">
      <c r="A1470" s="539" t="s">
        <v>3806</v>
      </c>
      <c r="C1470" s="539" t="s">
        <v>3807</v>
      </c>
      <c r="D1470" s="467" t="s">
        <v>2081</v>
      </c>
      <c r="F1470" s="467">
        <v>50</v>
      </c>
      <c r="H1470" s="467">
        <v>15</v>
      </c>
    </row>
    <row r="1471" spans="1:8" hidden="1">
      <c r="A1471" s="539" t="s">
        <v>3808</v>
      </c>
      <c r="C1471" s="539" t="s">
        <v>3809</v>
      </c>
      <c r="D1471" s="467" t="s">
        <v>775</v>
      </c>
      <c r="F1471" s="467">
        <v>50</v>
      </c>
      <c r="H1471" s="467">
        <v>56</v>
      </c>
    </row>
    <row r="1472" spans="1:8" hidden="1">
      <c r="A1472" s="539" t="s">
        <v>3810</v>
      </c>
      <c r="C1472" s="539" t="s">
        <v>3811</v>
      </c>
      <c r="D1472" s="467" t="s">
        <v>285</v>
      </c>
      <c r="F1472" s="467">
        <v>50</v>
      </c>
      <c r="H1472" s="467">
        <v>74</v>
      </c>
    </row>
    <row r="1473" spans="1:8" hidden="1">
      <c r="A1473" s="539" t="s">
        <v>3812</v>
      </c>
      <c r="C1473" s="539" t="s">
        <v>3813</v>
      </c>
      <c r="D1473" s="467" t="s">
        <v>281</v>
      </c>
      <c r="F1473" s="467">
        <v>50</v>
      </c>
      <c r="H1473" s="467">
        <v>543</v>
      </c>
    </row>
    <row r="1474" spans="1:8" hidden="1">
      <c r="A1474" s="539" t="s">
        <v>3814</v>
      </c>
      <c r="C1474" s="539" t="s">
        <v>3815</v>
      </c>
      <c r="D1474" s="467" t="s">
        <v>281</v>
      </c>
      <c r="F1474" s="467">
        <v>50</v>
      </c>
      <c r="H1474" s="467">
        <v>48</v>
      </c>
    </row>
    <row r="1475" spans="1:8" hidden="1">
      <c r="A1475" s="539" t="s">
        <v>3816</v>
      </c>
      <c r="C1475" s="539" t="s">
        <v>3817</v>
      </c>
      <c r="D1475" s="467" t="s">
        <v>775</v>
      </c>
      <c r="F1475" s="467">
        <v>2000</v>
      </c>
      <c r="H1475" s="467">
        <v>591</v>
      </c>
    </row>
    <row r="1476" spans="1:8" hidden="1">
      <c r="A1476" s="539" t="s">
        <v>3879</v>
      </c>
      <c r="C1476" s="539" t="s">
        <v>3880</v>
      </c>
      <c r="D1476" s="467" t="s">
        <v>281</v>
      </c>
      <c r="E1476" s="467" t="s">
        <v>3885</v>
      </c>
      <c r="F1476" s="467">
        <v>50</v>
      </c>
      <c r="G1476" s="467" t="s">
        <v>28</v>
      </c>
      <c r="H1476" s="467">
        <v>16.235999999999997</v>
      </c>
    </row>
    <row r="1477" spans="1:8" hidden="1">
      <c r="A1477" s="539" t="s">
        <v>3881</v>
      </c>
      <c r="C1477" s="539" t="s">
        <v>3882</v>
      </c>
      <c r="D1477" s="467" t="s">
        <v>281</v>
      </c>
      <c r="E1477" s="467" t="s">
        <v>3885</v>
      </c>
      <c r="F1477" s="467">
        <v>50</v>
      </c>
      <c r="G1477" s="467" t="s">
        <v>28</v>
      </c>
      <c r="H1477" s="467">
        <v>16.235999999999997</v>
      </c>
    </row>
    <row r="1478" spans="1:8" hidden="1">
      <c r="A1478" s="539" t="s">
        <v>3883</v>
      </c>
      <c r="C1478" s="539" t="s">
        <v>3884</v>
      </c>
      <c r="D1478" s="467" t="s">
        <v>281</v>
      </c>
      <c r="E1478" s="467" t="s">
        <v>3885</v>
      </c>
      <c r="F1478" s="467">
        <v>50</v>
      </c>
      <c r="G1478" s="467" t="s">
        <v>28</v>
      </c>
      <c r="H1478" s="467">
        <v>16.235999999999997</v>
      </c>
    </row>
    <row r="1479" spans="1:8" hidden="1">
      <c r="A1479" s="539" t="s">
        <v>3886</v>
      </c>
      <c r="C1479" s="539" t="s">
        <v>388</v>
      </c>
      <c r="D1479" s="467" t="s">
        <v>288</v>
      </c>
    </row>
    <row r="1480" spans="1:8">
      <c r="A1480" s="539" t="s">
        <v>3887</v>
      </c>
      <c r="C1480" s="539" t="s">
        <v>3976</v>
      </c>
      <c r="D1480" s="467" t="s">
        <v>288</v>
      </c>
    </row>
    <row r="1481" spans="1:8">
      <c r="A1481" s="539" t="s">
        <v>3888</v>
      </c>
      <c r="C1481" s="539" t="s">
        <v>395</v>
      </c>
      <c r="D1481" s="467" t="s">
        <v>288</v>
      </c>
    </row>
    <row r="1482" spans="1:8" hidden="1">
      <c r="A1482" s="539" t="s">
        <v>3889</v>
      </c>
      <c r="C1482" s="539" t="s">
        <v>415</v>
      </c>
      <c r="D1482" s="467" t="s">
        <v>416</v>
      </c>
      <c r="F1482" s="467">
        <v>50</v>
      </c>
    </row>
    <row r="1483" spans="1:8" hidden="1">
      <c r="A1483" s="539" t="s">
        <v>3895</v>
      </c>
      <c r="C1483" s="539" t="s">
        <v>252</v>
      </c>
      <c r="D1483" s="467" t="s">
        <v>281</v>
      </c>
    </row>
    <row r="1484" spans="1:8" hidden="1">
      <c r="A1484" s="539" t="s">
        <v>3896</v>
      </c>
      <c r="C1484" s="539" t="s">
        <v>378</v>
      </c>
      <c r="D1484" s="467" t="s">
        <v>281</v>
      </c>
    </row>
    <row r="1485" spans="1:8" hidden="1">
      <c r="A1485" s="539" t="s">
        <v>3942</v>
      </c>
      <c r="C1485" s="539" t="s">
        <v>283</v>
      </c>
      <c r="D1485" s="467" t="s">
        <v>281</v>
      </c>
      <c r="F1485" s="467">
        <v>50</v>
      </c>
    </row>
    <row r="1486" spans="1:8" hidden="1">
      <c r="A1486" s="539" t="s">
        <v>3893</v>
      </c>
      <c r="C1486" s="539" t="s">
        <v>3894</v>
      </c>
      <c r="D1486" s="467" t="s">
        <v>285</v>
      </c>
    </row>
    <row r="1487" spans="1:8">
      <c r="A1487" s="539" t="s">
        <v>3956</v>
      </c>
      <c r="C1487" s="539" t="s">
        <v>406</v>
      </c>
    </row>
    <row r="1488" spans="1:8" s="478" customFormat="1" hidden="1">
      <c r="A1488" s="473" t="s">
        <v>3961</v>
      </c>
      <c r="B1488" s="474"/>
      <c r="C1488" s="473" t="s">
        <v>3960</v>
      </c>
      <c r="D1488" s="475" t="s">
        <v>775</v>
      </c>
      <c r="E1488" s="466" t="str">
        <f t="shared" ref="E1488" si="21">LEFT(A1488,2)</f>
        <v>BM</v>
      </c>
      <c r="F1488" s="467">
        <v>50</v>
      </c>
      <c r="G1488" s="467" t="s">
        <v>28</v>
      </c>
      <c r="H1488" s="467">
        <v>0</v>
      </c>
    </row>
    <row r="1489" spans="1:8" hidden="1">
      <c r="A1489" s="539" t="s">
        <v>3962</v>
      </c>
      <c r="C1489" s="539" t="s">
        <v>3963</v>
      </c>
      <c r="D1489" s="467" t="s">
        <v>775</v>
      </c>
      <c r="F1489" s="467">
        <v>2000</v>
      </c>
    </row>
    <row r="1490" spans="1:8" ht="14.25" hidden="1" customHeight="1">
      <c r="A1490" s="576" t="s">
        <v>3969</v>
      </c>
      <c r="B1490" s="560"/>
      <c r="C1490" s="494" t="s">
        <v>3970</v>
      </c>
      <c r="D1490" s="495" t="s">
        <v>281</v>
      </c>
      <c r="E1490" s="466" t="str">
        <f t="shared" ref="E1490" si="22">LEFT(A1490,2)</f>
        <v>GI</v>
      </c>
      <c r="F1490" s="467">
        <v>50</v>
      </c>
      <c r="G1490" s="467" t="s">
        <v>28</v>
      </c>
      <c r="H1490" s="467">
        <v>0</v>
      </c>
    </row>
  </sheetData>
  <autoFilter ref="A1:H1490">
    <filterColumn colId="2">
      <colorFilter dxfId="85"/>
    </filterColumn>
  </autoFilter>
  <conditionalFormatting sqref="A1445:A1476 A1099:A1124 A2:A32 A447:A861 A304:A305 A1049:A1097 A227:A259 A182:A225 A261:A302 A974:A1047 A34:A180 A1239:A1325 A1327:A1340 A307:A363 A932:A972 A1232:A1237 A1126:A1230 A863:A930 A1342:A1344 A1346:A1428 A1478:A1487 A365:A442 A1491:A1048576">
    <cfRule type="duplicateValues" dxfId="59" priority="49"/>
  </conditionalFormatting>
  <conditionalFormatting sqref="A1098">
    <cfRule type="duplicateValues" dxfId="58" priority="48"/>
  </conditionalFormatting>
  <conditionalFormatting sqref="A443">
    <cfRule type="duplicateValues" dxfId="57" priority="47"/>
  </conditionalFormatting>
  <conditionalFormatting sqref="A303">
    <cfRule type="duplicateValues" dxfId="56" priority="46"/>
  </conditionalFormatting>
  <conditionalFormatting sqref="A1048">
    <cfRule type="duplicateValues" dxfId="55" priority="45"/>
  </conditionalFormatting>
  <conditionalFormatting sqref="A226">
    <cfRule type="duplicateValues" dxfId="54" priority="44"/>
  </conditionalFormatting>
  <conditionalFormatting sqref="A181">
    <cfRule type="duplicateValues" dxfId="53" priority="43"/>
  </conditionalFormatting>
  <conditionalFormatting sqref="A306">
    <cfRule type="duplicateValues" dxfId="52" priority="42"/>
  </conditionalFormatting>
  <conditionalFormatting sqref="A260">
    <cfRule type="duplicateValues" dxfId="51" priority="41"/>
  </conditionalFormatting>
  <conditionalFormatting sqref="A973">
    <cfRule type="duplicateValues" dxfId="50" priority="40"/>
  </conditionalFormatting>
  <conditionalFormatting sqref="A444">
    <cfRule type="duplicateValues" dxfId="49" priority="39"/>
  </conditionalFormatting>
  <conditionalFormatting sqref="A33">
    <cfRule type="duplicateValues" dxfId="48" priority="38"/>
  </conditionalFormatting>
  <conditionalFormatting sqref="A1429:A1444">
    <cfRule type="duplicateValues" dxfId="47" priority="37"/>
  </conditionalFormatting>
  <conditionalFormatting sqref="A1238">
    <cfRule type="duplicateValues" dxfId="46" priority="36"/>
  </conditionalFormatting>
  <conditionalFormatting sqref="A445">
    <cfRule type="duplicateValues" dxfId="45" priority="35"/>
  </conditionalFormatting>
  <conditionalFormatting sqref="A446">
    <cfRule type="duplicateValues" dxfId="44" priority="34"/>
  </conditionalFormatting>
  <conditionalFormatting sqref="A1326">
    <cfRule type="duplicateValues" dxfId="43" priority="33"/>
  </conditionalFormatting>
  <conditionalFormatting sqref="A1232:A1340 A2:A363 A932:A1124 A1126:A1230 A863:A930 A1342:A1344 A1346:A1476 A1478:A1487 A365:A861 A1491:A1048576">
    <cfRule type="duplicateValues" dxfId="42" priority="32"/>
  </conditionalFormatting>
  <conditionalFormatting sqref="A931">
    <cfRule type="duplicateValues" dxfId="41" priority="31"/>
  </conditionalFormatting>
  <conditionalFormatting sqref="A931">
    <cfRule type="duplicateValues" dxfId="40" priority="30"/>
  </conditionalFormatting>
  <conditionalFormatting sqref="A1231">
    <cfRule type="duplicateValues" dxfId="39" priority="29"/>
  </conditionalFormatting>
  <conditionalFormatting sqref="A1231">
    <cfRule type="duplicateValues" dxfId="38" priority="28"/>
  </conditionalFormatting>
  <conditionalFormatting sqref="A1125">
    <cfRule type="duplicateValues" dxfId="37" priority="27"/>
  </conditionalFormatting>
  <conditionalFormatting sqref="A1125">
    <cfRule type="duplicateValues" dxfId="36" priority="26"/>
  </conditionalFormatting>
  <conditionalFormatting sqref="A862">
    <cfRule type="duplicateValues" dxfId="35" priority="25"/>
  </conditionalFormatting>
  <conditionalFormatting sqref="A862">
    <cfRule type="duplicateValues" dxfId="34" priority="24"/>
  </conditionalFormatting>
  <conditionalFormatting sqref="A1341">
    <cfRule type="duplicateValues" dxfId="33" priority="23"/>
  </conditionalFormatting>
  <conditionalFormatting sqref="A1341">
    <cfRule type="duplicateValues" dxfId="32" priority="22"/>
  </conditionalFormatting>
  <conditionalFormatting sqref="A1345">
    <cfRule type="duplicateValues" dxfId="31" priority="21"/>
  </conditionalFormatting>
  <conditionalFormatting sqref="A1345">
    <cfRule type="duplicateValues" dxfId="30" priority="20"/>
  </conditionalFormatting>
  <conditionalFormatting sqref="A1477">
    <cfRule type="duplicateValues" dxfId="29" priority="19"/>
  </conditionalFormatting>
  <conditionalFormatting sqref="A1477">
    <cfRule type="duplicateValues" dxfId="28" priority="18"/>
  </conditionalFormatting>
  <conditionalFormatting sqref="A364">
    <cfRule type="duplicateValues" dxfId="27" priority="17"/>
  </conditionalFormatting>
  <conditionalFormatting sqref="A364">
    <cfRule type="duplicateValues" dxfId="26" priority="16"/>
  </conditionalFormatting>
  <conditionalFormatting sqref="A1">
    <cfRule type="duplicateValues" dxfId="23" priority="13"/>
  </conditionalFormatting>
  <conditionalFormatting sqref="A1488">
    <cfRule type="duplicateValues" dxfId="22" priority="12"/>
  </conditionalFormatting>
  <conditionalFormatting sqref="A1488">
    <cfRule type="duplicateValues" dxfId="21" priority="11"/>
  </conditionalFormatting>
  <conditionalFormatting sqref="A1489">
    <cfRule type="duplicateValues" dxfId="18" priority="8"/>
  </conditionalFormatting>
  <conditionalFormatting sqref="A1489">
    <cfRule type="duplicateValues" dxfId="17" priority="7"/>
  </conditionalFormatting>
  <conditionalFormatting sqref="A1490">
    <cfRule type="duplicateValues" dxfId="14" priority="4"/>
  </conditionalFormatting>
  <conditionalFormatting sqref="A1490">
    <cfRule type="duplicateValues" dxfId="13" priority="3"/>
  </conditionalFormatting>
  <printOptions horizontalCentered="1" gridLines="1" gridLinesSet="0"/>
  <pageMargins left="0.25" right="0.25" top="0.64" bottom="0.45" header="0.36" footer="0.18"/>
  <pageSetup paperSize="9" orientation="landscape" blackAndWhite="1" horizontalDpi="300" verticalDpi="300" r:id="rId1"/>
  <headerFooter alignWithMargins="0">
    <oddHeader>&amp;A</oddHeader>
    <oddFooter>Page &amp;P</oddFooter>
  </headerFooter>
  <extLst>
    <ext xmlns:x14="http://schemas.microsoft.com/office/spreadsheetml/2009/9/main" uri="{78C0D931-6437-407d-A8EE-F0AAD7539E65}">
      <x14:conditionalFormattings>
        <x14:conditionalFormatting xmlns:xm="http://schemas.microsoft.com/office/excel/2006/main">
          <x14:cfRule type="containsText" priority="14" operator="containsText" id="{0571E224-291F-4B67-89F8-9A1180436407}">
            <xm:f>NOT(ISERROR(SEARCH($A$1,C1)))</xm:f>
            <xm:f>$A$1</xm:f>
            <x14:dxf>
              <font>
                <color rgb="FF9C0006"/>
              </font>
              <fill>
                <patternFill>
                  <bgColor rgb="FFFFC7CE"/>
                </patternFill>
              </fill>
            </x14:dxf>
          </x14:cfRule>
          <x14:cfRule type="containsText" priority="15" operator="containsText" id="{AE95D4B7-ED62-4103-83C8-F64CA9966655}">
            <xm:f>NOT(ISERROR(SEARCH($A$1,C1)))</xm:f>
            <xm:f>$A$1</xm:f>
            <x14:dxf>
              <font>
                <color rgb="FF9C0006"/>
              </font>
              <fill>
                <patternFill>
                  <bgColor rgb="FFFFC7CE"/>
                </patternFill>
              </fill>
            </x14:dxf>
          </x14:cfRule>
          <xm:sqref>C1:C1487 C1491:C1048576</xm:sqref>
        </x14:conditionalFormatting>
        <x14:conditionalFormatting xmlns:xm="http://schemas.microsoft.com/office/excel/2006/main">
          <x14:cfRule type="containsText" priority="9" operator="containsText" id="{F30C8DC9-2E29-45C0-AA00-E946D6713DD3}">
            <xm:f>NOT(ISERROR(SEARCH($A$1,C1488)))</xm:f>
            <xm:f>$A$1</xm:f>
            <x14:dxf>
              <font>
                <color rgb="FF9C0006"/>
              </font>
              <fill>
                <patternFill>
                  <bgColor rgb="FFFFC7CE"/>
                </patternFill>
              </fill>
            </x14:dxf>
          </x14:cfRule>
          <x14:cfRule type="containsText" priority="10" operator="containsText" id="{CA2D6A68-D8EE-4885-9002-27FD02A7CAB4}">
            <xm:f>NOT(ISERROR(SEARCH($A$1,C1488)))</xm:f>
            <xm:f>$A$1</xm:f>
            <x14:dxf>
              <font>
                <color rgb="FF9C0006"/>
              </font>
              <fill>
                <patternFill>
                  <bgColor rgb="FFFFC7CE"/>
                </patternFill>
              </fill>
            </x14:dxf>
          </x14:cfRule>
          <xm:sqref>C1488</xm:sqref>
        </x14:conditionalFormatting>
        <x14:conditionalFormatting xmlns:xm="http://schemas.microsoft.com/office/excel/2006/main">
          <x14:cfRule type="containsText" priority="5" operator="containsText" id="{E166ACC8-EB7C-4D42-9C2D-5FF7FF7FBDB6}">
            <xm:f>NOT(ISERROR(SEARCH($A$1,C1489)))</xm:f>
            <xm:f>$A$1</xm:f>
            <x14:dxf>
              <font>
                <color rgb="FF9C0006"/>
              </font>
              <fill>
                <patternFill>
                  <bgColor rgb="FFFFC7CE"/>
                </patternFill>
              </fill>
            </x14:dxf>
          </x14:cfRule>
          <x14:cfRule type="containsText" priority="6" operator="containsText" id="{65D49951-B86A-4B2D-9CE4-9CB801E770A2}">
            <xm:f>NOT(ISERROR(SEARCH($A$1,C1489)))</xm:f>
            <xm:f>$A$1</xm:f>
            <x14:dxf>
              <font>
                <color rgb="FF9C0006"/>
              </font>
              <fill>
                <patternFill>
                  <bgColor rgb="FFFFC7CE"/>
                </patternFill>
              </fill>
            </x14:dxf>
          </x14:cfRule>
          <xm:sqref>C1489</xm:sqref>
        </x14:conditionalFormatting>
        <x14:conditionalFormatting xmlns:xm="http://schemas.microsoft.com/office/excel/2006/main">
          <x14:cfRule type="containsText" priority="1" operator="containsText" id="{9704E1D2-DA7A-4990-9E04-802BD05A7C47}">
            <xm:f>NOT(ISERROR(SEARCH($A$1,C1490)))</xm:f>
            <xm:f>$A$1</xm:f>
            <x14:dxf>
              <font>
                <color rgb="FF9C0006"/>
              </font>
              <fill>
                <patternFill>
                  <bgColor rgb="FFFFC7CE"/>
                </patternFill>
              </fill>
            </x14:dxf>
          </x14:cfRule>
          <x14:cfRule type="containsText" priority="2" operator="containsText" id="{A53B2DA5-A5B5-49E8-BE20-AA25D6CF7BFC}">
            <xm:f>NOT(ISERROR(SEARCH($A$1,C1490)))</xm:f>
            <xm:f>$A$1</xm:f>
            <x14:dxf>
              <font>
                <color rgb="FF9C0006"/>
              </font>
              <fill>
                <patternFill>
                  <bgColor rgb="FFFFC7CE"/>
                </patternFill>
              </fill>
            </x14:dxf>
          </x14:cfRule>
          <xm:sqref>C1490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opLeftCell="G1" workbookViewId="0">
      <selection activeCell="L8" sqref="L8"/>
    </sheetView>
  </sheetViews>
  <sheetFormatPr defaultColWidth="9" defaultRowHeight="16.8"/>
  <cols>
    <col min="1" max="1" width="9" style="9"/>
    <col min="2" max="2" width="32.1796875" style="12" customWidth="1"/>
    <col min="3" max="6" width="20.36328125" style="12" customWidth="1"/>
    <col min="7" max="11" width="8.90625" style="9" customWidth="1"/>
    <col min="12" max="12" width="16.90625" style="9" customWidth="1"/>
    <col min="13" max="236" width="8.90625" style="9" customWidth="1"/>
    <col min="237" max="16384" width="9" style="9"/>
  </cols>
  <sheetData>
    <row r="1" spans="1:26" s="1" customFormat="1" ht="53.25" customHeight="1">
      <c r="A1" s="600" t="s">
        <v>3898</v>
      </c>
      <c r="B1" s="600" t="s">
        <v>3899</v>
      </c>
      <c r="C1" s="600" t="s">
        <v>3900</v>
      </c>
      <c r="D1" s="600" t="s">
        <v>3901</v>
      </c>
      <c r="E1" s="600" t="s">
        <v>3902</v>
      </c>
      <c r="F1" s="600" t="s">
        <v>3903</v>
      </c>
      <c r="G1" s="600" t="s">
        <v>3904</v>
      </c>
      <c r="H1" s="600" t="s">
        <v>3905</v>
      </c>
      <c r="I1" s="600" t="s">
        <v>3906</v>
      </c>
      <c r="J1" s="600" t="s">
        <v>3907</v>
      </c>
      <c r="K1" s="600" t="s">
        <v>3908</v>
      </c>
      <c r="L1" s="600" t="s">
        <v>3909</v>
      </c>
      <c r="M1" s="600" t="s">
        <v>3910</v>
      </c>
      <c r="N1" s="600" t="s">
        <v>3911</v>
      </c>
      <c r="O1" s="600" t="s">
        <v>3912</v>
      </c>
      <c r="P1" s="600" t="s">
        <v>3913</v>
      </c>
      <c r="Q1" s="600" t="s">
        <v>3914</v>
      </c>
      <c r="R1" s="600" t="s">
        <v>128</v>
      </c>
      <c r="S1" s="600" t="s">
        <v>3915</v>
      </c>
      <c r="T1" s="600" t="s">
        <v>3916</v>
      </c>
      <c r="U1" s="600" t="s">
        <v>3917</v>
      </c>
      <c r="V1" s="600" t="s">
        <v>3918</v>
      </c>
      <c r="W1" s="600" t="s">
        <v>3919</v>
      </c>
      <c r="X1" s="600" t="s">
        <v>3920</v>
      </c>
      <c r="Y1" s="600" t="s">
        <v>3921</v>
      </c>
      <c r="Z1" s="600" t="s">
        <v>3922</v>
      </c>
    </row>
    <row r="2" spans="1:26" s="3" customFormat="1" ht="72" customHeight="1">
      <c r="A2" s="601" t="s">
        <v>3923</v>
      </c>
      <c r="B2" s="601" t="s">
        <v>3924</v>
      </c>
      <c r="C2" s="174" t="s">
        <v>3925</v>
      </c>
      <c r="D2" s="601" t="s">
        <v>123</v>
      </c>
      <c r="E2" s="174" t="s">
        <v>3926</v>
      </c>
      <c r="F2" s="601" t="s">
        <v>125</v>
      </c>
      <c r="G2" s="601" t="s">
        <v>3927</v>
      </c>
      <c r="H2" s="601" t="s">
        <v>131</v>
      </c>
      <c r="I2" s="601"/>
      <c r="J2" s="601"/>
      <c r="K2" s="601"/>
      <c r="L2" s="601" t="s">
        <v>3928</v>
      </c>
      <c r="M2" s="601" t="s">
        <v>3929</v>
      </c>
      <c r="N2" s="601" t="s">
        <v>3930</v>
      </c>
      <c r="O2" s="2" t="s">
        <v>3931</v>
      </c>
      <c r="P2" s="2" t="s">
        <v>3932</v>
      </c>
      <c r="Q2" s="601" t="s">
        <v>125</v>
      </c>
      <c r="R2" s="601" t="s">
        <v>127</v>
      </c>
      <c r="S2" s="174" t="s">
        <v>3926</v>
      </c>
      <c r="T2" s="2" t="s">
        <v>3933</v>
      </c>
      <c r="U2" s="174" t="s">
        <v>3934</v>
      </c>
      <c r="V2" s="2" t="str">
        <f>UPPER(U2)</f>
        <v>XUÂN LỘC</v>
      </c>
      <c r="W2" s="601" t="s">
        <v>3935</v>
      </c>
      <c r="X2" s="601" t="str">
        <f>UPPER(W2)</f>
        <v>NÂNG CẤP ĐƯỜNG DÂY TRUNG THẾ TỪ RECLOSER XUÂN BẮC ĐẾN LBS KHÍ CHẾ BIẾN TUYẾN 480 XUÂN BẮC</v>
      </c>
      <c r="Y2" s="2" t="str">
        <f>"Huyện Xuân Lộc - Tỉnh Đồng Nai"</f>
        <v>Huyện Xuân Lộc - Tỉnh Đồng Nai</v>
      </c>
      <c r="Z2" s="2" t="str">
        <f>UPPER(Y2)</f>
        <v>HUYỆN XUÂN LỘC - TỈNH ĐỒNG NAI</v>
      </c>
    </row>
    <row r="3" spans="1:26" s="4" customFormat="1">
      <c r="B3" s="6"/>
      <c r="C3" s="7"/>
      <c r="D3" s="7"/>
      <c r="E3" s="6"/>
      <c r="F3" s="6"/>
    </row>
    <row r="9" spans="1:26">
      <c r="B9" s="10"/>
      <c r="C9" s="10"/>
      <c r="D9" s="10"/>
      <c r="E9" s="10"/>
      <c r="F9" s="10"/>
    </row>
    <row r="10" spans="1:26">
      <c r="B10" s="10"/>
      <c r="C10" s="11"/>
      <c r="D10" s="11"/>
      <c r="E10" s="11"/>
      <c r="F10" s="11"/>
    </row>
    <row r="11" spans="1:26">
      <c r="B11" s="10"/>
      <c r="C11" s="11"/>
      <c r="D11" s="11"/>
      <c r="E11" s="11"/>
      <c r="F11" s="11"/>
    </row>
    <row r="12" spans="1:26">
      <c r="B12" s="10"/>
      <c r="C12" s="11"/>
      <c r="D12" s="11"/>
      <c r="E12" s="11"/>
      <c r="F12" s="11"/>
    </row>
    <row r="13" spans="1:26">
      <c r="C13" s="13"/>
      <c r="D13" s="13"/>
    </row>
    <row r="14" spans="1:26">
      <c r="B14" s="9"/>
      <c r="C14" s="13"/>
      <c r="D14" s="13"/>
    </row>
    <row r="15" spans="1:26">
      <c r="B15" s="9"/>
      <c r="C15" s="13"/>
      <c r="D15" s="13"/>
    </row>
    <row r="16" spans="1:26">
      <c r="C16" s="13"/>
      <c r="D16" s="13"/>
    </row>
    <row r="17" spans="3:4">
      <c r="C17" s="13"/>
      <c r="D17" s="13"/>
    </row>
    <row r="18" spans="3:4">
      <c r="C18" s="13"/>
      <c r="D18" s="13"/>
    </row>
    <row r="19" spans="3:4">
      <c r="C19" s="13"/>
      <c r="D19" s="13"/>
    </row>
    <row r="20" spans="3:4">
      <c r="C20" s="14"/>
      <c r="D20" s="14"/>
    </row>
    <row r="21" spans="3:4">
      <c r="C21" s="14"/>
      <c r="D21" s="14"/>
    </row>
    <row r="22" spans="3:4">
      <c r="C22" s="14"/>
      <c r="D22" s="14"/>
    </row>
    <row r="23" spans="3:4">
      <c r="C23" s="13"/>
      <c r="D23" s="13"/>
    </row>
    <row r="24" spans="3:4">
      <c r="C24" s="14"/>
      <c r="D24" s="14"/>
    </row>
  </sheetData>
  <dataValidations count="1">
    <dataValidation type="list" allowBlank="1" showInputMessage="1" showErrorMessage="1" sqref="C2 S2 E2">
      <formula1>"Ông, Bà"</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Y184"/>
  <sheetViews>
    <sheetView tabSelected="1" topLeftCell="F1" zoomScale="85" zoomScaleNormal="85" workbookViewId="0">
      <pane ySplit="5" topLeftCell="A42" activePane="bottomLeft" state="frozen"/>
      <selection pane="bottomLeft" activeCell="V191" sqref="V191"/>
    </sheetView>
  </sheetViews>
  <sheetFormatPr defaultRowHeight="16.8"/>
  <cols>
    <col min="30" max="30" width="11.36328125" customWidth="1"/>
  </cols>
  <sheetData>
    <row r="1" spans="2:51">
      <c r="C1">
        <f>SUM(C6:C181)</f>
        <v>6338.0000000000018</v>
      </c>
      <c r="D1">
        <f t="shared" ref="D1:AY1" si="0">SUM(D6:D181)</f>
        <v>554664.90000000026</v>
      </c>
      <c r="E1">
        <f t="shared" si="0"/>
        <v>0</v>
      </c>
      <c r="F1">
        <f t="shared" si="0"/>
        <v>0</v>
      </c>
      <c r="G1">
        <f t="shared" si="0"/>
        <v>19014</v>
      </c>
      <c r="H1">
        <f t="shared" si="0"/>
        <v>3146.8999999999996</v>
      </c>
      <c r="I1">
        <f t="shared" si="0"/>
        <v>102</v>
      </c>
      <c r="J1">
        <f t="shared" si="0"/>
        <v>22</v>
      </c>
      <c r="K1">
        <f t="shared" si="0"/>
        <v>20</v>
      </c>
      <c r="L1">
        <f t="shared" si="0"/>
        <v>0</v>
      </c>
      <c r="M1">
        <f t="shared" si="0"/>
        <v>1</v>
      </c>
      <c r="N1">
        <f t="shared" si="0"/>
        <v>77</v>
      </c>
      <c r="O1">
        <f t="shared" si="0"/>
        <v>0</v>
      </c>
      <c r="P1">
        <f t="shared" si="0"/>
        <v>0</v>
      </c>
      <c r="Q1">
        <f t="shared" si="0"/>
        <v>0</v>
      </c>
      <c r="R1">
        <f t="shared" si="0"/>
        <v>10</v>
      </c>
      <c r="S1">
        <f t="shared" si="0"/>
        <v>0</v>
      </c>
      <c r="T1">
        <f t="shared" si="0"/>
        <v>0</v>
      </c>
      <c r="U1">
        <f t="shared" si="0"/>
        <v>74</v>
      </c>
      <c r="V1">
        <f t="shared" si="0"/>
        <v>9</v>
      </c>
      <c r="W1">
        <f t="shared" si="0"/>
        <v>0</v>
      </c>
      <c r="X1">
        <f t="shared" si="0"/>
        <v>1</v>
      </c>
      <c r="Y1">
        <f t="shared" si="0"/>
        <v>5</v>
      </c>
      <c r="Z1">
        <f t="shared" si="0"/>
        <v>0</v>
      </c>
      <c r="AA1">
        <f t="shared" si="0"/>
        <v>0</v>
      </c>
      <c r="AB1">
        <f t="shared" si="0"/>
        <v>3</v>
      </c>
      <c r="AC1">
        <f t="shared" si="0"/>
        <v>9</v>
      </c>
      <c r="AD1">
        <f t="shared" si="0"/>
        <v>30</v>
      </c>
      <c r="AE1">
        <f t="shared" si="0"/>
        <v>3</v>
      </c>
      <c r="AF1">
        <f t="shared" si="0"/>
        <v>6</v>
      </c>
      <c r="AG1">
        <f t="shared" si="0"/>
        <v>193</v>
      </c>
      <c r="AH1">
        <f t="shared" si="0"/>
        <v>95</v>
      </c>
      <c r="AI1">
        <f t="shared" si="0"/>
        <v>36</v>
      </c>
      <c r="AJ1">
        <f t="shared" si="0"/>
        <v>9</v>
      </c>
      <c r="AK1">
        <f t="shared" si="0"/>
        <v>81</v>
      </c>
      <c r="AL1">
        <f t="shared" si="0"/>
        <v>265</v>
      </c>
      <c r="AM1">
        <f t="shared" si="0"/>
        <v>48</v>
      </c>
      <c r="AN1">
        <f t="shared" si="0"/>
        <v>5</v>
      </c>
      <c r="AO1">
        <f t="shared" si="0"/>
        <v>40</v>
      </c>
      <c r="AP1">
        <f t="shared" si="0"/>
        <v>8</v>
      </c>
      <c r="AQ1">
        <f t="shared" si="0"/>
        <v>13</v>
      </c>
      <c r="AR1">
        <f t="shared" si="0"/>
        <v>0</v>
      </c>
      <c r="AS1">
        <f t="shared" si="0"/>
        <v>3</v>
      </c>
      <c r="AT1">
        <f t="shared" si="0"/>
        <v>10</v>
      </c>
      <c r="AU1">
        <f t="shared" si="0"/>
        <v>0</v>
      </c>
      <c r="AV1">
        <f t="shared" si="0"/>
        <v>8</v>
      </c>
      <c r="AW1">
        <f t="shared" si="0"/>
        <v>9</v>
      </c>
      <c r="AX1">
        <f t="shared" si="0"/>
        <v>86</v>
      </c>
      <c r="AY1">
        <f t="shared" si="0"/>
        <v>5</v>
      </c>
    </row>
    <row r="3" spans="2:51">
      <c r="B3" t="s">
        <v>223</v>
      </c>
      <c r="C3" t="s">
        <v>224</v>
      </c>
      <c r="D3" t="s">
        <v>225</v>
      </c>
      <c r="E3" t="s">
        <v>226</v>
      </c>
    </row>
    <row r="4" spans="2:51" s="173" customFormat="1" ht="75.599999999999994" customHeight="1">
      <c r="E4" s="173" t="s">
        <v>227</v>
      </c>
      <c r="F4" s="173" t="s">
        <v>228</v>
      </c>
      <c r="G4" s="173" t="s">
        <v>229</v>
      </c>
      <c r="H4" s="173" t="s">
        <v>230</v>
      </c>
      <c r="I4" s="173" t="s">
        <v>231</v>
      </c>
      <c r="J4" s="173" t="s">
        <v>232</v>
      </c>
      <c r="K4" s="173" t="s">
        <v>233</v>
      </c>
      <c r="L4" s="173" t="s">
        <v>227</v>
      </c>
      <c r="M4" s="173" t="s">
        <v>234</v>
      </c>
      <c r="N4" s="173" t="s">
        <v>235</v>
      </c>
      <c r="O4" s="173" t="s">
        <v>236</v>
      </c>
      <c r="P4" s="173" t="s">
        <v>237</v>
      </c>
      <c r="Q4" s="173" t="s">
        <v>238</v>
      </c>
      <c r="R4" s="173" t="s">
        <v>239</v>
      </c>
      <c r="S4" s="173" t="s">
        <v>240</v>
      </c>
      <c r="T4" s="173" t="s">
        <v>241</v>
      </c>
      <c r="U4" s="173" t="s">
        <v>242</v>
      </c>
      <c r="V4" s="173" t="s">
        <v>243</v>
      </c>
      <c r="W4" s="173" t="s">
        <v>244</v>
      </c>
      <c r="X4" s="173" t="s">
        <v>245</v>
      </c>
      <c r="Y4" s="173" t="s">
        <v>246</v>
      </c>
      <c r="Z4" s="173" t="s">
        <v>247</v>
      </c>
      <c r="AA4" s="173" t="s">
        <v>248</v>
      </c>
      <c r="AB4" s="173" t="s">
        <v>249</v>
      </c>
      <c r="AC4" s="173" t="s">
        <v>250</v>
      </c>
      <c r="AD4" s="173" t="s">
        <v>251</v>
      </c>
      <c r="AE4" s="173" t="s">
        <v>252</v>
      </c>
      <c r="AF4" s="173" t="s">
        <v>253</v>
      </c>
      <c r="AG4" s="173" t="s">
        <v>254</v>
      </c>
      <c r="AH4" s="173" t="s">
        <v>255</v>
      </c>
      <c r="AI4" s="173" t="s">
        <v>256</v>
      </c>
      <c r="AJ4" s="173" t="s">
        <v>257</v>
      </c>
      <c r="AK4" s="173" t="s">
        <v>258</v>
      </c>
      <c r="AL4" s="173" t="s">
        <v>259</v>
      </c>
      <c r="AM4" s="173" t="s">
        <v>260</v>
      </c>
      <c r="AN4" s="173" t="s">
        <v>261</v>
      </c>
      <c r="AO4" s="173" t="s">
        <v>262</v>
      </c>
      <c r="AP4" s="173" t="s">
        <v>263</v>
      </c>
      <c r="AQ4" s="173" t="s">
        <v>264</v>
      </c>
      <c r="AR4" s="173" t="s">
        <v>265</v>
      </c>
      <c r="AS4" s="173" t="s">
        <v>266</v>
      </c>
      <c r="AT4" s="173" t="s">
        <v>267</v>
      </c>
      <c r="AU4" s="173" t="s">
        <v>268</v>
      </c>
      <c r="AV4" s="173" t="s">
        <v>269</v>
      </c>
      <c r="AW4" s="173" t="s">
        <v>270</v>
      </c>
      <c r="AX4" s="173" t="s">
        <v>271</v>
      </c>
      <c r="AY4" s="173" t="s">
        <v>272</v>
      </c>
    </row>
    <row r="5" spans="2:51" ht="29.4" customHeight="1">
      <c r="B5" t="s">
        <v>273</v>
      </c>
      <c r="G5" t="s">
        <v>939</v>
      </c>
      <c r="H5" t="s">
        <v>940</v>
      </c>
      <c r="I5" t="s">
        <v>941</v>
      </c>
      <c r="J5" t="s">
        <v>3936</v>
      </c>
      <c r="K5" t="s">
        <v>686</v>
      </c>
      <c r="M5" t="s">
        <v>659</v>
      </c>
      <c r="N5" t="s">
        <v>3820</v>
      </c>
      <c r="R5" t="s">
        <v>3889</v>
      </c>
      <c r="U5" t="s">
        <v>702</v>
      </c>
      <c r="V5" t="s">
        <v>712</v>
      </c>
      <c r="X5" s="173" t="s">
        <v>245</v>
      </c>
      <c r="Y5" t="s">
        <v>735</v>
      </c>
      <c r="AB5" t="s">
        <v>852</v>
      </c>
      <c r="AC5" t="s">
        <v>846</v>
      </c>
      <c r="AD5" t="s">
        <v>3893</v>
      </c>
      <c r="AE5" t="s">
        <v>3895</v>
      </c>
      <c r="AF5" s="175" t="s">
        <v>1954</v>
      </c>
      <c r="AG5" t="s">
        <v>961</v>
      </c>
      <c r="AH5" t="s">
        <v>706</v>
      </c>
      <c r="AI5" t="s">
        <v>1119</v>
      </c>
      <c r="AJ5" t="s">
        <v>1120</v>
      </c>
      <c r="AL5" t="s">
        <v>3969</v>
      </c>
      <c r="AM5" t="s">
        <v>3973</v>
      </c>
      <c r="AX5" t="s">
        <v>949</v>
      </c>
    </row>
    <row r="6" spans="2:51" hidden="1">
      <c r="B6">
        <v>89</v>
      </c>
      <c r="AD6">
        <v>3</v>
      </c>
      <c r="AS6">
        <v>3</v>
      </c>
    </row>
    <row r="7" spans="2:51" hidden="1">
      <c r="B7" t="s">
        <v>133</v>
      </c>
      <c r="C7">
        <v>28</v>
      </c>
      <c r="D7">
        <v>28</v>
      </c>
      <c r="G7">
        <v>84</v>
      </c>
      <c r="I7">
        <v>0</v>
      </c>
      <c r="N7">
        <v>1</v>
      </c>
      <c r="AJ7">
        <v>1</v>
      </c>
      <c r="AK7">
        <v>1</v>
      </c>
      <c r="AL7">
        <v>4</v>
      </c>
    </row>
    <row r="8" spans="2:51" hidden="1">
      <c r="B8">
        <v>90</v>
      </c>
      <c r="C8">
        <v>28.9</v>
      </c>
      <c r="D8">
        <v>56.9</v>
      </c>
      <c r="G8">
        <v>86.7</v>
      </c>
      <c r="I8">
        <v>0</v>
      </c>
      <c r="V8">
        <v>1</v>
      </c>
      <c r="AB8">
        <v>1</v>
      </c>
      <c r="AC8">
        <v>0</v>
      </c>
      <c r="AG8">
        <v>4</v>
      </c>
      <c r="AH8">
        <v>2</v>
      </c>
      <c r="AX8">
        <v>1</v>
      </c>
    </row>
    <row r="9" spans="2:51" hidden="1">
      <c r="B9" t="s">
        <v>134</v>
      </c>
      <c r="C9">
        <v>35</v>
      </c>
      <c r="D9">
        <v>91.9</v>
      </c>
      <c r="G9">
        <v>105</v>
      </c>
      <c r="I9">
        <v>0</v>
      </c>
      <c r="N9">
        <v>1</v>
      </c>
      <c r="AB9">
        <v>0</v>
      </c>
      <c r="AC9">
        <v>0</v>
      </c>
      <c r="AJ9">
        <v>1</v>
      </c>
      <c r="AK9">
        <v>2</v>
      </c>
      <c r="AL9">
        <v>12</v>
      </c>
    </row>
    <row r="10" spans="2:51" hidden="1">
      <c r="B10">
        <v>91</v>
      </c>
      <c r="C10">
        <v>33.9</v>
      </c>
      <c r="D10">
        <v>125.8</v>
      </c>
      <c r="G10">
        <v>101.7</v>
      </c>
      <c r="I10">
        <v>0</v>
      </c>
      <c r="U10">
        <v>1</v>
      </c>
      <c r="AB10">
        <v>0</v>
      </c>
      <c r="AC10">
        <v>0</v>
      </c>
      <c r="AG10">
        <v>2</v>
      </c>
      <c r="AH10">
        <v>1</v>
      </c>
      <c r="AX10">
        <v>1</v>
      </c>
    </row>
    <row r="11" spans="2:51" hidden="1">
      <c r="B11" t="s">
        <v>135</v>
      </c>
      <c r="C11">
        <v>41</v>
      </c>
      <c r="D11">
        <v>166.8</v>
      </c>
      <c r="G11">
        <v>123</v>
      </c>
      <c r="I11">
        <v>0</v>
      </c>
      <c r="N11">
        <v>1</v>
      </c>
      <c r="AB11">
        <v>0</v>
      </c>
      <c r="AC11">
        <v>0</v>
      </c>
      <c r="AJ11">
        <v>1</v>
      </c>
      <c r="AK11">
        <v>3</v>
      </c>
      <c r="AL11">
        <v>8</v>
      </c>
    </row>
    <row r="12" spans="2:51" hidden="1">
      <c r="B12">
        <v>92</v>
      </c>
      <c r="C12">
        <v>40.1</v>
      </c>
      <c r="D12">
        <v>206.9</v>
      </c>
      <c r="G12">
        <v>120.3</v>
      </c>
      <c r="I12">
        <v>0</v>
      </c>
      <c r="U12">
        <v>1</v>
      </c>
      <c r="AB12">
        <v>0</v>
      </c>
      <c r="AC12">
        <v>0</v>
      </c>
      <c r="AG12">
        <v>2</v>
      </c>
      <c r="AH12">
        <v>1</v>
      </c>
      <c r="AX12">
        <v>1</v>
      </c>
    </row>
    <row r="13" spans="2:51" hidden="1">
      <c r="B13" t="s">
        <v>136</v>
      </c>
      <c r="C13">
        <v>40</v>
      </c>
      <c r="D13">
        <v>246.9</v>
      </c>
      <c r="G13">
        <v>120</v>
      </c>
      <c r="I13">
        <v>0</v>
      </c>
      <c r="N13">
        <v>1</v>
      </c>
      <c r="AB13">
        <v>0</v>
      </c>
      <c r="AC13">
        <v>0</v>
      </c>
      <c r="AJ13">
        <v>1</v>
      </c>
      <c r="AK13">
        <v>1</v>
      </c>
      <c r="AL13">
        <v>3</v>
      </c>
    </row>
    <row r="14" spans="2:51" hidden="1">
      <c r="B14">
        <v>93</v>
      </c>
      <c r="C14">
        <v>39.6</v>
      </c>
      <c r="D14">
        <v>286.5</v>
      </c>
      <c r="G14">
        <v>118.8</v>
      </c>
      <c r="I14">
        <v>0</v>
      </c>
      <c r="U14">
        <v>1</v>
      </c>
      <c r="AB14">
        <v>0</v>
      </c>
      <c r="AC14">
        <v>0</v>
      </c>
      <c r="AG14">
        <v>2</v>
      </c>
      <c r="AH14">
        <v>1</v>
      </c>
      <c r="AX14">
        <v>1</v>
      </c>
    </row>
    <row r="15" spans="2:51" hidden="1">
      <c r="B15" t="s">
        <v>137</v>
      </c>
      <c r="C15">
        <v>39</v>
      </c>
      <c r="D15">
        <v>325.5</v>
      </c>
      <c r="G15">
        <v>117</v>
      </c>
      <c r="I15">
        <v>0</v>
      </c>
      <c r="N15">
        <v>1</v>
      </c>
      <c r="AB15">
        <v>0</v>
      </c>
      <c r="AC15">
        <v>0</v>
      </c>
      <c r="AJ15">
        <v>1</v>
      </c>
      <c r="AK15">
        <v>1</v>
      </c>
      <c r="AL15">
        <v>6</v>
      </c>
    </row>
    <row r="16" spans="2:51" hidden="1">
      <c r="B16">
        <v>94</v>
      </c>
      <c r="C16">
        <v>39.799999999999997</v>
      </c>
      <c r="D16">
        <v>365.3</v>
      </c>
      <c r="G16">
        <v>119.4</v>
      </c>
      <c r="I16">
        <v>0</v>
      </c>
      <c r="U16">
        <v>1</v>
      </c>
      <c r="AB16">
        <v>0</v>
      </c>
      <c r="AC16">
        <v>0</v>
      </c>
      <c r="AG16">
        <v>2</v>
      </c>
      <c r="AH16">
        <v>1</v>
      </c>
      <c r="AX16">
        <v>1</v>
      </c>
    </row>
    <row r="17" spans="2:50" hidden="1">
      <c r="B17" t="s">
        <v>138</v>
      </c>
      <c r="C17">
        <v>42</v>
      </c>
      <c r="D17">
        <v>407.3</v>
      </c>
      <c r="G17">
        <v>126</v>
      </c>
      <c r="I17">
        <v>0</v>
      </c>
      <c r="N17">
        <v>1</v>
      </c>
      <c r="AB17">
        <v>0</v>
      </c>
      <c r="AC17">
        <v>0</v>
      </c>
      <c r="AJ17">
        <v>1</v>
      </c>
      <c r="AK17">
        <v>1</v>
      </c>
      <c r="AL17">
        <v>3</v>
      </c>
    </row>
    <row r="18" spans="2:50" hidden="1">
      <c r="B18">
        <v>95</v>
      </c>
      <c r="C18">
        <v>42.8</v>
      </c>
      <c r="D18">
        <v>450.1</v>
      </c>
      <c r="G18">
        <v>128.4</v>
      </c>
      <c r="I18">
        <v>0</v>
      </c>
      <c r="V18">
        <v>1</v>
      </c>
      <c r="AB18">
        <v>0</v>
      </c>
      <c r="AC18">
        <v>0</v>
      </c>
      <c r="AG18">
        <v>4</v>
      </c>
      <c r="AH18">
        <v>2</v>
      </c>
      <c r="AX18">
        <v>1</v>
      </c>
    </row>
    <row r="19" spans="2:50" hidden="1">
      <c r="B19" t="s">
        <v>139</v>
      </c>
      <c r="C19">
        <v>36</v>
      </c>
      <c r="D19">
        <v>486.1</v>
      </c>
      <c r="G19">
        <v>108</v>
      </c>
      <c r="I19">
        <v>0</v>
      </c>
      <c r="N19">
        <v>1</v>
      </c>
      <c r="AB19">
        <v>0</v>
      </c>
      <c r="AC19">
        <v>0</v>
      </c>
      <c r="AJ19">
        <v>1</v>
      </c>
    </row>
    <row r="20" spans="2:50" hidden="1">
      <c r="B20">
        <v>96</v>
      </c>
      <c r="C20">
        <v>36.6</v>
      </c>
      <c r="D20">
        <v>522.70000000000005</v>
      </c>
      <c r="G20">
        <v>109.8</v>
      </c>
      <c r="I20">
        <v>0</v>
      </c>
      <c r="U20">
        <v>1</v>
      </c>
      <c r="AB20">
        <v>0</v>
      </c>
      <c r="AC20">
        <v>0</v>
      </c>
      <c r="AG20">
        <v>2</v>
      </c>
      <c r="AH20">
        <v>1</v>
      </c>
      <c r="AX20">
        <v>1</v>
      </c>
    </row>
    <row r="21" spans="2:50" hidden="1">
      <c r="B21" t="s">
        <v>140</v>
      </c>
      <c r="C21">
        <v>35</v>
      </c>
      <c r="D21">
        <v>557.70000000000005</v>
      </c>
      <c r="G21">
        <v>105</v>
      </c>
      <c r="I21">
        <v>0</v>
      </c>
      <c r="N21">
        <v>1</v>
      </c>
      <c r="AB21">
        <v>0</v>
      </c>
      <c r="AC21">
        <v>0</v>
      </c>
      <c r="AJ21">
        <v>1</v>
      </c>
      <c r="AK21">
        <v>1</v>
      </c>
      <c r="AL21">
        <v>3</v>
      </c>
      <c r="AN21">
        <v>1</v>
      </c>
    </row>
    <row r="22" spans="2:50" hidden="1">
      <c r="B22">
        <v>97</v>
      </c>
      <c r="C22">
        <v>34.299999999999997</v>
      </c>
      <c r="D22">
        <v>592</v>
      </c>
      <c r="G22">
        <v>102.9</v>
      </c>
      <c r="I22">
        <v>0</v>
      </c>
      <c r="U22">
        <v>1</v>
      </c>
      <c r="AB22">
        <v>0</v>
      </c>
      <c r="AC22">
        <v>0</v>
      </c>
      <c r="AG22">
        <v>2</v>
      </c>
      <c r="AH22">
        <v>1</v>
      </c>
      <c r="AX22">
        <v>1</v>
      </c>
    </row>
    <row r="23" spans="2:50" hidden="1">
      <c r="B23" t="s">
        <v>141</v>
      </c>
      <c r="C23">
        <v>37</v>
      </c>
      <c r="D23">
        <v>629</v>
      </c>
      <c r="G23">
        <v>111</v>
      </c>
      <c r="H23">
        <v>37</v>
      </c>
      <c r="I23">
        <v>0</v>
      </c>
      <c r="N23">
        <v>1</v>
      </c>
      <c r="AB23">
        <v>0</v>
      </c>
      <c r="AC23">
        <v>0</v>
      </c>
      <c r="AK23">
        <v>1</v>
      </c>
      <c r="AL23">
        <v>3</v>
      </c>
      <c r="AO23">
        <v>1</v>
      </c>
    </row>
    <row r="24" spans="2:50" hidden="1">
      <c r="B24">
        <v>98</v>
      </c>
      <c r="C24">
        <v>37.1</v>
      </c>
      <c r="D24">
        <v>666.1</v>
      </c>
      <c r="G24">
        <v>111.3</v>
      </c>
      <c r="H24">
        <v>37.1</v>
      </c>
      <c r="I24">
        <v>0</v>
      </c>
      <c r="U24">
        <v>1</v>
      </c>
      <c r="AB24">
        <v>0</v>
      </c>
      <c r="AC24">
        <v>0</v>
      </c>
      <c r="AG24">
        <v>2</v>
      </c>
      <c r="AH24">
        <v>1</v>
      </c>
      <c r="AX24">
        <v>1</v>
      </c>
    </row>
    <row r="25" spans="2:50" hidden="1">
      <c r="B25" t="s">
        <v>142</v>
      </c>
      <c r="C25">
        <v>37</v>
      </c>
      <c r="D25">
        <v>703.1</v>
      </c>
      <c r="G25">
        <v>111</v>
      </c>
      <c r="H25">
        <v>37</v>
      </c>
      <c r="I25">
        <v>0</v>
      </c>
      <c r="N25">
        <v>1</v>
      </c>
      <c r="AB25">
        <v>0</v>
      </c>
      <c r="AC25">
        <v>0</v>
      </c>
      <c r="AK25">
        <v>1</v>
      </c>
      <c r="AL25">
        <v>3</v>
      </c>
      <c r="AO25">
        <v>1</v>
      </c>
    </row>
    <row r="26" spans="2:50" hidden="1">
      <c r="B26">
        <v>99</v>
      </c>
      <c r="C26">
        <v>36.9</v>
      </c>
      <c r="D26">
        <v>740</v>
      </c>
      <c r="G26">
        <v>110.7</v>
      </c>
      <c r="H26">
        <v>36.9</v>
      </c>
      <c r="I26">
        <v>0</v>
      </c>
      <c r="U26">
        <v>1</v>
      </c>
      <c r="AB26">
        <v>0</v>
      </c>
      <c r="AC26">
        <v>0</v>
      </c>
      <c r="AG26">
        <v>2</v>
      </c>
      <c r="AH26">
        <v>1</v>
      </c>
      <c r="AX26">
        <v>1</v>
      </c>
    </row>
    <row r="27" spans="2:50" hidden="1">
      <c r="B27" t="s">
        <v>143</v>
      </c>
      <c r="C27">
        <v>37</v>
      </c>
      <c r="D27">
        <v>777</v>
      </c>
      <c r="G27">
        <v>111</v>
      </c>
      <c r="H27">
        <v>37</v>
      </c>
      <c r="I27">
        <v>0</v>
      </c>
      <c r="N27">
        <v>1</v>
      </c>
      <c r="AB27">
        <v>0</v>
      </c>
      <c r="AC27">
        <v>0</v>
      </c>
      <c r="AK27">
        <v>1</v>
      </c>
      <c r="AL27">
        <v>3</v>
      </c>
      <c r="AO27">
        <v>1</v>
      </c>
    </row>
    <row r="28" spans="2:50" hidden="1">
      <c r="B28">
        <v>100</v>
      </c>
      <c r="C28">
        <v>38.200000000000003</v>
      </c>
      <c r="D28">
        <v>815.2</v>
      </c>
      <c r="G28">
        <v>114.6</v>
      </c>
      <c r="H28">
        <v>38.200000000000003</v>
      </c>
      <c r="I28">
        <v>0</v>
      </c>
      <c r="U28">
        <v>1</v>
      </c>
      <c r="AB28">
        <v>0</v>
      </c>
      <c r="AC28">
        <v>0</v>
      </c>
      <c r="AG28">
        <v>2</v>
      </c>
      <c r="AH28">
        <v>1</v>
      </c>
      <c r="AX28">
        <v>1</v>
      </c>
    </row>
    <row r="29" spans="2:50" hidden="1">
      <c r="B29" t="s">
        <v>144</v>
      </c>
      <c r="C29">
        <v>38</v>
      </c>
      <c r="D29">
        <v>853.2</v>
      </c>
      <c r="G29">
        <v>114</v>
      </c>
      <c r="H29">
        <v>38</v>
      </c>
      <c r="I29">
        <v>0</v>
      </c>
      <c r="N29">
        <v>1</v>
      </c>
      <c r="AB29">
        <v>0</v>
      </c>
      <c r="AC29">
        <v>0</v>
      </c>
      <c r="AK29">
        <v>1</v>
      </c>
      <c r="AL29">
        <v>6</v>
      </c>
      <c r="AO29">
        <v>1</v>
      </c>
    </row>
    <row r="30" spans="2:50" hidden="1">
      <c r="B30">
        <v>101</v>
      </c>
      <c r="C30">
        <v>38.1</v>
      </c>
      <c r="D30">
        <v>891.3</v>
      </c>
      <c r="G30">
        <v>114.3</v>
      </c>
      <c r="H30">
        <v>38.1</v>
      </c>
      <c r="I30">
        <v>0</v>
      </c>
      <c r="J30">
        <v>3</v>
      </c>
      <c r="K30">
        <v>1</v>
      </c>
      <c r="R30">
        <v>1</v>
      </c>
      <c r="U30">
        <v>1</v>
      </c>
      <c r="AB30">
        <v>0</v>
      </c>
      <c r="AC30">
        <v>0</v>
      </c>
      <c r="AG30">
        <v>2</v>
      </c>
      <c r="AH30">
        <v>1</v>
      </c>
      <c r="AP30">
        <v>1</v>
      </c>
      <c r="AQ30">
        <v>1</v>
      </c>
      <c r="AT30">
        <v>1</v>
      </c>
      <c r="AW30">
        <v>1</v>
      </c>
      <c r="AX30">
        <v>1</v>
      </c>
    </row>
    <row r="31" spans="2:50" hidden="1">
      <c r="B31" t="s">
        <v>145</v>
      </c>
      <c r="C31">
        <v>48</v>
      </c>
      <c r="D31">
        <v>939.3</v>
      </c>
      <c r="G31">
        <v>144</v>
      </c>
      <c r="H31">
        <v>48</v>
      </c>
      <c r="I31">
        <v>0</v>
      </c>
      <c r="N31">
        <v>1</v>
      </c>
      <c r="AB31">
        <v>0</v>
      </c>
      <c r="AC31">
        <v>0</v>
      </c>
      <c r="AK31">
        <v>1</v>
      </c>
      <c r="AO31">
        <v>1</v>
      </c>
    </row>
    <row r="32" spans="2:50" hidden="1">
      <c r="B32">
        <v>102</v>
      </c>
      <c r="C32">
        <v>49.8</v>
      </c>
      <c r="D32">
        <v>989.1</v>
      </c>
      <c r="G32">
        <v>149.4</v>
      </c>
      <c r="H32">
        <v>49.8</v>
      </c>
      <c r="I32">
        <v>0</v>
      </c>
      <c r="K32">
        <v>1</v>
      </c>
      <c r="V32">
        <v>1</v>
      </c>
      <c r="AB32">
        <v>0</v>
      </c>
      <c r="AC32">
        <v>0</v>
      </c>
      <c r="AG32">
        <v>4</v>
      </c>
      <c r="AH32">
        <v>2</v>
      </c>
      <c r="AK32">
        <v>1</v>
      </c>
      <c r="AL32">
        <v>3</v>
      </c>
      <c r="AO32">
        <v>1</v>
      </c>
      <c r="AX32">
        <v>1</v>
      </c>
    </row>
    <row r="33" spans="2:51" hidden="1">
      <c r="B33" t="s">
        <v>146</v>
      </c>
      <c r="C33">
        <v>38</v>
      </c>
      <c r="D33">
        <v>1027.0999999999999</v>
      </c>
      <c r="G33">
        <v>114</v>
      </c>
      <c r="H33">
        <v>38</v>
      </c>
      <c r="I33">
        <v>0</v>
      </c>
      <c r="N33">
        <v>1</v>
      </c>
      <c r="AB33">
        <v>0</v>
      </c>
      <c r="AC33">
        <v>0</v>
      </c>
      <c r="AK33">
        <v>1</v>
      </c>
      <c r="AL33">
        <v>3</v>
      </c>
      <c r="AO33">
        <v>1</v>
      </c>
    </row>
    <row r="34" spans="2:51" hidden="1">
      <c r="B34">
        <v>103</v>
      </c>
      <c r="C34">
        <v>38.799999999999997</v>
      </c>
      <c r="D34">
        <v>1065.9000000000001</v>
      </c>
      <c r="G34">
        <v>116.4</v>
      </c>
      <c r="H34">
        <v>38.799999999999997</v>
      </c>
      <c r="I34">
        <v>0</v>
      </c>
      <c r="U34">
        <v>1</v>
      </c>
      <c r="AB34">
        <v>0</v>
      </c>
      <c r="AC34">
        <v>0</v>
      </c>
      <c r="AG34">
        <v>2</v>
      </c>
      <c r="AH34">
        <v>1</v>
      </c>
      <c r="AX34">
        <v>1</v>
      </c>
    </row>
    <row r="35" spans="2:51" hidden="1">
      <c r="B35" t="s">
        <v>147</v>
      </c>
      <c r="C35">
        <v>36</v>
      </c>
      <c r="D35">
        <v>1101.9000000000001</v>
      </c>
      <c r="G35">
        <v>108</v>
      </c>
      <c r="H35">
        <v>36</v>
      </c>
      <c r="I35">
        <v>0</v>
      </c>
      <c r="N35">
        <v>1</v>
      </c>
      <c r="AB35">
        <v>0</v>
      </c>
      <c r="AC35">
        <v>0</v>
      </c>
      <c r="AK35">
        <v>1</v>
      </c>
      <c r="AL35">
        <v>3</v>
      </c>
      <c r="AN35">
        <v>2</v>
      </c>
    </row>
    <row r="36" spans="2:51" hidden="1">
      <c r="B36">
        <v>104</v>
      </c>
      <c r="C36">
        <v>35.299999999999997</v>
      </c>
      <c r="D36">
        <v>1137.2</v>
      </c>
      <c r="G36">
        <v>105.9</v>
      </c>
      <c r="H36">
        <v>35.299999999999997</v>
      </c>
      <c r="I36">
        <v>0</v>
      </c>
      <c r="U36">
        <v>1</v>
      </c>
      <c r="AB36">
        <v>0</v>
      </c>
      <c r="AC36">
        <v>0</v>
      </c>
      <c r="AG36">
        <v>2</v>
      </c>
      <c r="AH36">
        <v>1</v>
      </c>
      <c r="AX36">
        <v>1</v>
      </c>
    </row>
    <row r="37" spans="2:51" hidden="1">
      <c r="B37" t="s">
        <v>148</v>
      </c>
      <c r="C37">
        <v>37</v>
      </c>
      <c r="D37">
        <v>1174.2</v>
      </c>
      <c r="G37">
        <v>111</v>
      </c>
      <c r="H37">
        <v>37</v>
      </c>
      <c r="I37">
        <v>0</v>
      </c>
      <c r="N37">
        <v>1</v>
      </c>
      <c r="AB37">
        <v>0</v>
      </c>
      <c r="AC37">
        <v>0</v>
      </c>
      <c r="AK37">
        <v>1</v>
      </c>
      <c r="AL37">
        <v>3</v>
      </c>
      <c r="AO37">
        <v>1</v>
      </c>
    </row>
    <row r="38" spans="2:51" hidden="1">
      <c r="B38">
        <v>105</v>
      </c>
      <c r="C38">
        <v>36.700000000000003</v>
      </c>
      <c r="D38">
        <v>1210.9000000000001</v>
      </c>
      <c r="G38">
        <v>110.1</v>
      </c>
      <c r="H38">
        <v>36.700000000000003</v>
      </c>
      <c r="I38">
        <v>28</v>
      </c>
      <c r="U38">
        <v>1</v>
      </c>
      <c r="AB38">
        <v>0</v>
      </c>
      <c r="AC38">
        <v>0</v>
      </c>
      <c r="AG38">
        <v>2</v>
      </c>
      <c r="AH38">
        <v>1</v>
      </c>
      <c r="AX38">
        <v>1</v>
      </c>
    </row>
    <row r="39" spans="2:51" hidden="1">
      <c r="B39" t="s">
        <v>149</v>
      </c>
      <c r="C39">
        <v>38.5</v>
      </c>
      <c r="D39">
        <v>1249.4000000000001</v>
      </c>
      <c r="G39">
        <v>115.5</v>
      </c>
      <c r="H39">
        <v>38.5</v>
      </c>
      <c r="I39">
        <v>0</v>
      </c>
      <c r="N39">
        <v>1</v>
      </c>
      <c r="AB39">
        <v>0</v>
      </c>
      <c r="AC39">
        <v>0</v>
      </c>
      <c r="AK39">
        <v>1</v>
      </c>
      <c r="AL39">
        <v>3</v>
      </c>
      <c r="AO39">
        <v>1</v>
      </c>
    </row>
    <row r="40" spans="2:51" hidden="1">
      <c r="B40">
        <v>106</v>
      </c>
      <c r="C40">
        <v>38</v>
      </c>
      <c r="D40">
        <v>1287.4000000000001</v>
      </c>
      <c r="G40">
        <v>114</v>
      </c>
      <c r="H40">
        <v>38</v>
      </c>
      <c r="I40">
        <v>0</v>
      </c>
      <c r="J40">
        <v>2.5</v>
      </c>
      <c r="K40">
        <v>1</v>
      </c>
      <c r="R40">
        <v>1</v>
      </c>
      <c r="U40">
        <v>1</v>
      </c>
      <c r="AB40">
        <v>0</v>
      </c>
      <c r="AC40">
        <v>0</v>
      </c>
      <c r="AG40">
        <v>2</v>
      </c>
      <c r="AH40">
        <v>1</v>
      </c>
      <c r="AL40">
        <v>3</v>
      </c>
      <c r="AP40">
        <v>1</v>
      </c>
      <c r="AQ40">
        <v>1</v>
      </c>
      <c r="AT40">
        <v>1</v>
      </c>
      <c r="AW40">
        <v>2</v>
      </c>
      <c r="AX40">
        <v>1</v>
      </c>
    </row>
    <row r="41" spans="2:51" hidden="1">
      <c r="B41" t="s">
        <v>150</v>
      </c>
      <c r="C41">
        <v>37</v>
      </c>
      <c r="D41">
        <v>1324.4</v>
      </c>
      <c r="G41">
        <v>111</v>
      </c>
      <c r="H41">
        <v>37</v>
      </c>
      <c r="I41">
        <v>0</v>
      </c>
      <c r="N41">
        <v>1</v>
      </c>
      <c r="AB41">
        <v>0</v>
      </c>
      <c r="AC41">
        <v>0</v>
      </c>
      <c r="AK41">
        <v>1</v>
      </c>
      <c r="AL41">
        <v>4</v>
      </c>
      <c r="AO41">
        <v>1</v>
      </c>
    </row>
    <row r="42" spans="2:51">
      <c r="B42">
        <v>107</v>
      </c>
      <c r="C42">
        <v>37.6</v>
      </c>
      <c r="D42">
        <v>1362</v>
      </c>
      <c r="G42">
        <v>112.8</v>
      </c>
      <c r="H42">
        <v>37.6</v>
      </c>
      <c r="I42">
        <v>0</v>
      </c>
      <c r="K42">
        <v>1</v>
      </c>
      <c r="Y42">
        <v>1</v>
      </c>
      <c r="AB42">
        <v>0</v>
      </c>
      <c r="AC42">
        <v>2</v>
      </c>
      <c r="AD42">
        <v>6</v>
      </c>
      <c r="AG42">
        <v>1</v>
      </c>
      <c r="AY42">
        <v>2</v>
      </c>
    </row>
    <row r="43" spans="2:51" hidden="1">
      <c r="B43" t="s">
        <v>151</v>
      </c>
      <c r="C43">
        <v>34</v>
      </c>
      <c r="D43">
        <v>1396</v>
      </c>
      <c r="G43">
        <v>102</v>
      </c>
      <c r="H43">
        <v>34</v>
      </c>
      <c r="I43">
        <v>0</v>
      </c>
      <c r="N43">
        <v>1</v>
      </c>
      <c r="AB43">
        <v>0</v>
      </c>
      <c r="AC43">
        <v>0</v>
      </c>
      <c r="AK43">
        <v>1</v>
      </c>
      <c r="AL43">
        <v>3</v>
      </c>
      <c r="AO43">
        <v>1</v>
      </c>
    </row>
    <row r="44" spans="2:51" hidden="1">
      <c r="B44">
        <v>108</v>
      </c>
      <c r="C44">
        <v>33.700000000000003</v>
      </c>
      <c r="D44">
        <v>1429.7</v>
      </c>
      <c r="G44">
        <v>101.1</v>
      </c>
      <c r="H44">
        <v>33.700000000000003</v>
      </c>
      <c r="I44">
        <v>0</v>
      </c>
      <c r="U44">
        <v>1</v>
      </c>
      <c r="AB44">
        <v>0</v>
      </c>
      <c r="AC44">
        <v>0</v>
      </c>
      <c r="AG44">
        <v>2</v>
      </c>
      <c r="AH44">
        <v>1</v>
      </c>
      <c r="AX44">
        <v>1</v>
      </c>
    </row>
    <row r="45" spans="2:51" hidden="1">
      <c r="B45" t="s">
        <v>152</v>
      </c>
      <c r="C45">
        <v>34</v>
      </c>
      <c r="D45">
        <v>1463.7</v>
      </c>
      <c r="G45">
        <v>102</v>
      </c>
      <c r="H45">
        <v>34</v>
      </c>
      <c r="I45">
        <v>0</v>
      </c>
      <c r="N45">
        <v>1</v>
      </c>
      <c r="AB45">
        <v>0</v>
      </c>
      <c r="AC45">
        <v>0</v>
      </c>
      <c r="AK45">
        <v>1</v>
      </c>
      <c r="AL45">
        <v>6</v>
      </c>
      <c r="AO45">
        <v>1</v>
      </c>
    </row>
    <row r="46" spans="2:51" hidden="1">
      <c r="B46">
        <v>109</v>
      </c>
      <c r="C46">
        <v>35</v>
      </c>
      <c r="D46">
        <v>1498.7</v>
      </c>
      <c r="G46">
        <v>105</v>
      </c>
      <c r="H46">
        <v>35</v>
      </c>
      <c r="I46">
        <v>0</v>
      </c>
      <c r="U46">
        <v>1</v>
      </c>
      <c r="AB46">
        <v>0</v>
      </c>
      <c r="AC46">
        <v>0</v>
      </c>
      <c r="AG46">
        <v>2</v>
      </c>
      <c r="AH46">
        <v>1</v>
      </c>
      <c r="AX46">
        <v>1</v>
      </c>
    </row>
    <row r="47" spans="2:51" hidden="1">
      <c r="B47" t="s">
        <v>153</v>
      </c>
      <c r="C47">
        <v>27</v>
      </c>
      <c r="D47">
        <v>1525.7</v>
      </c>
      <c r="G47">
        <v>81</v>
      </c>
      <c r="H47">
        <v>27</v>
      </c>
      <c r="I47">
        <v>0</v>
      </c>
      <c r="N47">
        <v>1</v>
      </c>
      <c r="AB47">
        <v>0</v>
      </c>
      <c r="AC47">
        <v>0</v>
      </c>
      <c r="AK47">
        <v>1</v>
      </c>
      <c r="AL47">
        <v>3</v>
      </c>
      <c r="AO47">
        <v>1</v>
      </c>
    </row>
    <row r="48" spans="2:51" hidden="1">
      <c r="B48">
        <v>110</v>
      </c>
      <c r="C48">
        <v>28.1</v>
      </c>
      <c r="D48">
        <v>1553.8</v>
      </c>
      <c r="G48">
        <v>84.3</v>
      </c>
      <c r="H48">
        <v>28.1</v>
      </c>
      <c r="I48">
        <v>0</v>
      </c>
      <c r="K48">
        <v>1</v>
      </c>
      <c r="V48">
        <v>1</v>
      </c>
      <c r="AB48">
        <v>1</v>
      </c>
      <c r="AC48">
        <v>0</v>
      </c>
      <c r="AG48">
        <v>4</v>
      </c>
      <c r="AH48">
        <v>2</v>
      </c>
      <c r="AX48">
        <v>1</v>
      </c>
    </row>
    <row r="49" spans="2:50" hidden="1">
      <c r="B49" t="s">
        <v>154</v>
      </c>
      <c r="C49">
        <v>35</v>
      </c>
      <c r="D49">
        <v>1588.8</v>
      </c>
      <c r="G49">
        <v>105</v>
      </c>
      <c r="H49">
        <v>35</v>
      </c>
      <c r="I49">
        <v>0</v>
      </c>
      <c r="N49">
        <v>1</v>
      </c>
      <c r="AB49">
        <v>0</v>
      </c>
      <c r="AC49">
        <v>0</v>
      </c>
      <c r="AK49">
        <v>1</v>
      </c>
      <c r="AL49">
        <v>3</v>
      </c>
      <c r="AO49">
        <v>1</v>
      </c>
    </row>
    <row r="50" spans="2:50" hidden="1">
      <c r="B50">
        <v>111</v>
      </c>
      <c r="C50">
        <v>35.1</v>
      </c>
      <c r="D50">
        <v>1623.9</v>
      </c>
      <c r="G50">
        <v>105.3</v>
      </c>
      <c r="H50">
        <v>35.1</v>
      </c>
      <c r="I50">
        <v>0</v>
      </c>
      <c r="U50">
        <v>1</v>
      </c>
      <c r="AB50">
        <v>0</v>
      </c>
      <c r="AC50">
        <v>0</v>
      </c>
      <c r="AG50">
        <v>2</v>
      </c>
      <c r="AH50">
        <v>1</v>
      </c>
      <c r="AX50">
        <v>1</v>
      </c>
    </row>
    <row r="51" spans="2:50" hidden="1">
      <c r="B51" t="s">
        <v>155</v>
      </c>
      <c r="C51">
        <v>10</v>
      </c>
      <c r="D51">
        <v>1633.9</v>
      </c>
      <c r="G51">
        <v>30</v>
      </c>
      <c r="H51">
        <v>10</v>
      </c>
      <c r="I51">
        <v>0</v>
      </c>
      <c r="AB51">
        <v>0</v>
      </c>
      <c r="AC51">
        <v>0</v>
      </c>
    </row>
    <row r="52" spans="2:50" hidden="1">
      <c r="B52" t="s">
        <v>156</v>
      </c>
      <c r="C52">
        <v>51.8</v>
      </c>
      <c r="D52">
        <v>1685.7</v>
      </c>
      <c r="G52">
        <v>155.4</v>
      </c>
      <c r="H52">
        <v>51.8</v>
      </c>
      <c r="I52">
        <v>0</v>
      </c>
      <c r="AB52">
        <v>0</v>
      </c>
      <c r="AC52">
        <v>0</v>
      </c>
    </row>
    <row r="53" spans="2:50" hidden="1">
      <c r="B53">
        <v>112</v>
      </c>
      <c r="C53">
        <v>10</v>
      </c>
      <c r="D53">
        <v>1695.7</v>
      </c>
      <c r="G53">
        <v>30</v>
      </c>
      <c r="H53">
        <v>10</v>
      </c>
      <c r="I53">
        <v>0</v>
      </c>
      <c r="U53">
        <v>1</v>
      </c>
      <c r="AB53">
        <v>0</v>
      </c>
      <c r="AC53">
        <v>0</v>
      </c>
      <c r="AG53">
        <v>2</v>
      </c>
      <c r="AH53">
        <v>1</v>
      </c>
      <c r="AX53">
        <v>1</v>
      </c>
    </row>
    <row r="54" spans="2:50" hidden="1">
      <c r="B54" t="s">
        <v>157</v>
      </c>
      <c r="C54">
        <v>37.700000000000003</v>
      </c>
      <c r="D54">
        <v>1733.4</v>
      </c>
      <c r="G54">
        <v>113.1</v>
      </c>
      <c r="H54">
        <v>37.700000000000003</v>
      </c>
      <c r="I54">
        <v>0</v>
      </c>
      <c r="N54">
        <v>1</v>
      </c>
      <c r="AB54">
        <v>0</v>
      </c>
      <c r="AC54">
        <v>0</v>
      </c>
      <c r="AK54">
        <v>1</v>
      </c>
      <c r="AL54">
        <v>2</v>
      </c>
      <c r="AO54">
        <v>1</v>
      </c>
    </row>
    <row r="55" spans="2:50" hidden="1">
      <c r="B55">
        <v>113</v>
      </c>
      <c r="C55">
        <v>37</v>
      </c>
      <c r="D55">
        <v>1770.4</v>
      </c>
      <c r="G55">
        <v>111</v>
      </c>
      <c r="H55">
        <v>37</v>
      </c>
      <c r="I55">
        <v>0</v>
      </c>
      <c r="U55">
        <v>1</v>
      </c>
      <c r="AB55">
        <v>0</v>
      </c>
      <c r="AC55">
        <v>0</v>
      </c>
      <c r="AG55">
        <v>2</v>
      </c>
      <c r="AH55">
        <v>1</v>
      </c>
      <c r="AX55">
        <v>1</v>
      </c>
    </row>
    <row r="56" spans="2:50" hidden="1">
      <c r="B56" t="s">
        <v>158</v>
      </c>
      <c r="C56">
        <v>33</v>
      </c>
      <c r="D56">
        <v>1803.4</v>
      </c>
      <c r="G56">
        <v>99</v>
      </c>
      <c r="H56">
        <v>33</v>
      </c>
      <c r="I56">
        <v>0</v>
      </c>
      <c r="N56">
        <v>1</v>
      </c>
      <c r="AB56">
        <v>0</v>
      </c>
      <c r="AC56">
        <v>0</v>
      </c>
      <c r="AK56">
        <v>1</v>
      </c>
      <c r="AL56">
        <v>6</v>
      </c>
      <c r="AO56">
        <v>1</v>
      </c>
    </row>
    <row r="57" spans="2:50" hidden="1">
      <c r="B57">
        <v>114</v>
      </c>
      <c r="C57">
        <v>32</v>
      </c>
      <c r="D57">
        <v>1835.4</v>
      </c>
      <c r="G57">
        <v>96</v>
      </c>
      <c r="H57">
        <v>32</v>
      </c>
      <c r="I57">
        <v>0</v>
      </c>
      <c r="U57">
        <v>1</v>
      </c>
      <c r="AB57">
        <v>0</v>
      </c>
      <c r="AC57">
        <v>0</v>
      </c>
      <c r="AG57">
        <v>2</v>
      </c>
      <c r="AH57">
        <v>1</v>
      </c>
      <c r="AX57">
        <v>1</v>
      </c>
    </row>
    <row r="58" spans="2:50" hidden="1">
      <c r="B58" t="s">
        <v>159</v>
      </c>
      <c r="C58">
        <v>42</v>
      </c>
      <c r="D58">
        <v>1877.4</v>
      </c>
      <c r="G58">
        <v>126</v>
      </c>
      <c r="H58">
        <v>42</v>
      </c>
      <c r="I58">
        <v>0</v>
      </c>
      <c r="N58">
        <v>1</v>
      </c>
      <c r="AB58">
        <v>0</v>
      </c>
      <c r="AC58">
        <v>0</v>
      </c>
      <c r="AK58">
        <v>1</v>
      </c>
      <c r="AL58">
        <v>3</v>
      </c>
      <c r="AO58">
        <v>1</v>
      </c>
    </row>
    <row r="59" spans="2:50" hidden="1">
      <c r="B59">
        <v>115</v>
      </c>
      <c r="C59">
        <v>39.4</v>
      </c>
      <c r="D59">
        <v>1916.8</v>
      </c>
      <c r="G59">
        <v>118.2</v>
      </c>
      <c r="H59">
        <v>39.4</v>
      </c>
      <c r="I59">
        <v>0</v>
      </c>
      <c r="K59">
        <v>1</v>
      </c>
      <c r="U59">
        <v>1</v>
      </c>
      <c r="AB59">
        <v>0</v>
      </c>
      <c r="AC59">
        <v>0</v>
      </c>
      <c r="AG59">
        <v>2</v>
      </c>
      <c r="AH59">
        <v>1</v>
      </c>
      <c r="AL59">
        <v>3</v>
      </c>
      <c r="AX59">
        <v>1</v>
      </c>
    </row>
    <row r="60" spans="2:50" hidden="1">
      <c r="B60" t="s">
        <v>160</v>
      </c>
      <c r="C60">
        <v>37</v>
      </c>
      <c r="D60">
        <v>1953.8</v>
      </c>
      <c r="G60">
        <v>111</v>
      </c>
      <c r="H60">
        <v>37</v>
      </c>
      <c r="I60">
        <v>0</v>
      </c>
      <c r="N60">
        <v>1</v>
      </c>
      <c r="AB60">
        <v>0</v>
      </c>
      <c r="AC60">
        <v>0</v>
      </c>
      <c r="AK60">
        <v>1</v>
      </c>
      <c r="AL60">
        <v>3</v>
      </c>
      <c r="AO60">
        <v>1</v>
      </c>
    </row>
    <row r="61" spans="2:50" hidden="1">
      <c r="B61">
        <v>116</v>
      </c>
      <c r="C61">
        <v>37.1</v>
      </c>
      <c r="D61">
        <v>1990.9</v>
      </c>
      <c r="G61">
        <v>111.3</v>
      </c>
      <c r="H61">
        <v>37.1</v>
      </c>
      <c r="I61">
        <v>0</v>
      </c>
      <c r="J61">
        <v>1.5</v>
      </c>
      <c r="K61">
        <v>1</v>
      </c>
      <c r="R61">
        <v>1</v>
      </c>
      <c r="U61">
        <v>1</v>
      </c>
      <c r="AB61">
        <v>0</v>
      </c>
      <c r="AC61">
        <v>0</v>
      </c>
      <c r="AG61">
        <v>2</v>
      </c>
      <c r="AH61">
        <v>1</v>
      </c>
      <c r="AL61">
        <v>3</v>
      </c>
      <c r="AP61">
        <v>1</v>
      </c>
      <c r="AQ61">
        <v>1</v>
      </c>
      <c r="AT61">
        <v>1</v>
      </c>
      <c r="AW61">
        <v>1</v>
      </c>
      <c r="AX61">
        <v>1</v>
      </c>
    </row>
    <row r="62" spans="2:50" hidden="1">
      <c r="B62" t="s">
        <v>161</v>
      </c>
      <c r="C62">
        <v>34</v>
      </c>
      <c r="D62">
        <v>2024.9</v>
      </c>
      <c r="G62">
        <v>102</v>
      </c>
      <c r="H62">
        <v>34</v>
      </c>
      <c r="I62">
        <v>0</v>
      </c>
      <c r="N62">
        <v>1</v>
      </c>
      <c r="AB62">
        <v>0</v>
      </c>
      <c r="AC62">
        <v>0</v>
      </c>
      <c r="AK62">
        <v>1</v>
      </c>
      <c r="AL62">
        <v>4</v>
      </c>
      <c r="AO62">
        <v>1</v>
      </c>
    </row>
    <row r="63" spans="2:50" hidden="1">
      <c r="B63">
        <v>117</v>
      </c>
      <c r="C63">
        <v>33.700000000000003</v>
      </c>
      <c r="D63">
        <v>2058.6</v>
      </c>
      <c r="G63">
        <v>101.1</v>
      </c>
      <c r="H63">
        <v>33.700000000000003</v>
      </c>
      <c r="I63">
        <v>0</v>
      </c>
      <c r="U63">
        <v>1</v>
      </c>
      <c r="AB63">
        <v>0</v>
      </c>
      <c r="AC63">
        <v>0</v>
      </c>
      <c r="AG63">
        <v>2</v>
      </c>
      <c r="AH63">
        <v>1</v>
      </c>
      <c r="AX63">
        <v>1</v>
      </c>
    </row>
    <row r="64" spans="2:50" hidden="1">
      <c r="B64" t="s">
        <v>162</v>
      </c>
      <c r="C64">
        <v>40</v>
      </c>
      <c r="D64">
        <v>2098.6</v>
      </c>
      <c r="G64">
        <v>120</v>
      </c>
      <c r="H64">
        <v>40</v>
      </c>
      <c r="I64">
        <v>0</v>
      </c>
      <c r="N64">
        <v>1</v>
      </c>
      <c r="AB64">
        <v>0</v>
      </c>
      <c r="AC64">
        <v>0</v>
      </c>
      <c r="AK64">
        <v>1</v>
      </c>
      <c r="AL64">
        <v>4</v>
      </c>
      <c r="AO64">
        <v>1</v>
      </c>
    </row>
    <row r="65" spans="2:50" hidden="1">
      <c r="B65">
        <v>118</v>
      </c>
      <c r="C65">
        <v>44.5</v>
      </c>
      <c r="D65">
        <v>2143.1</v>
      </c>
      <c r="G65">
        <v>133.5</v>
      </c>
      <c r="H65">
        <v>44.5</v>
      </c>
      <c r="I65">
        <v>0</v>
      </c>
      <c r="U65">
        <v>1</v>
      </c>
      <c r="AB65">
        <v>0</v>
      </c>
      <c r="AC65">
        <v>0</v>
      </c>
      <c r="AG65">
        <v>2</v>
      </c>
      <c r="AH65">
        <v>1</v>
      </c>
      <c r="AX65">
        <v>1</v>
      </c>
    </row>
    <row r="66" spans="2:50" hidden="1">
      <c r="B66" t="s">
        <v>163</v>
      </c>
      <c r="C66">
        <v>33.299999999999997</v>
      </c>
      <c r="D66">
        <v>2176.4</v>
      </c>
      <c r="G66">
        <v>99.9</v>
      </c>
      <c r="H66">
        <v>33.299999999999997</v>
      </c>
      <c r="I66">
        <v>0</v>
      </c>
      <c r="N66">
        <v>1</v>
      </c>
      <c r="AB66">
        <v>0</v>
      </c>
      <c r="AC66">
        <v>0</v>
      </c>
      <c r="AK66">
        <v>1</v>
      </c>
      <c r="AL66">
        <v>3</v>
      </c>
      <c r="AN66">
        <v>2</v>
      </c>
    </row>
    <row r="67" spans="2:50" hidden="1">
      <c r="B67">
        <v>119</v>
      </c>
      <c r="C67">
        <v>33</v>
      </c>
      <c r="D67">
        <v>2209.4</v>
      </c>
      <c r="G67">
        <v>99</v>
      </c>
      <c r="H67">
        <v>33</v>
      </c>
      <c r="I67">
        <v>0</v>
      </c>
      <c r="U67">
        <v>1</v>
      </c>
      <c r="AB67">
        <v>0</v>
      </c>
      <c r="AC67">
        <v>0</v>
      </c>
      <c r="AG67">
        <v>2</v>
      </c>
      <c r="AH67">
        <v>1</v>
      </c>
      <c r="AX67">
        <v>1</v>
      </c>
    </row>
    <row r="68" spans="2:50" hidden="1">
      <c r="B68" t="s">
        <v>164</v>
      </c>
      <c r="C68">
        <v>36</v>
      </c>
      <c r="D68">
        <v>2245.4</v>
      </c>
      <c r="G68">
        <v>108</v>
      </c>
      <c r="H68">
        <v>36</v>
      </c>
      <c r="I68">
        <v>0</v>
      </c>
      <c r="N68">
        <v>1</v>
      </c>
      <c r="AB68">
        <v>0</v>
      </c>
      <c r="AC68">
        <v>0</v>
      </c>
      <c r="AK68">
        <v>1</v>
      </c>
      <c r="AL68">
        <v>5</v>
      </c>
      <c r="AO68">
        <v>1</v>
      </c>
    </row>
    <row r="69" spans="2:50" hidden="1">
      <c r="B69">
        <v>120</v>
      </c>
      <c r="C69">
        <v>35.5</v>
      </c>
      <c r="D69">
        <v>2280.9</v>
      </c>
      <c r="G69">
        <v>106.5</v>
      </c>
      <c r="H69">
        <v>35.5</v>
      </c>
      <c r="I69">
        <v>0</v>
      </c>
      <c r="U69">
        <v>1</v>
      </c>
      <c r="AB69">
        <v>0</v>
      </c>
      <c r="AC69">
        <v>0</v>
      </c>
      <c r="AG69">
        <v>2</v>
      </c>
      <c r="AH69">
        <v>1</v>
      </c>
      <c r="AX69">
        <v>1</v>
      </c>
    </row>
    <row r="70" spans="2:50" hidden="1">
      <c r="B70" t="s">
        <v>165</v>
      </c>
      <c r="C70">
        <v>39</v>
      </c>
      <c r="D70">
        <v>2319.9</v>
      </c>
      <c r="G70">
        <v>117</v>
      </c>
      <c r="H70">
        <v>39</v>
      </c>
      <c r="I70">
        <v>0</v>
      </c>
      <c r="N70">
        <v>1</v>
      </c>
      <c r="AB70">
        <v>0</v>
      </c>
      <c r="AC70">
        <v>0</v>
      </c>
      <c r="AK70">
        <v>1</v>
      </c>
      <c r="AL70">
        <v>3</v>
      </c>
      <c r="AO70">
        <v>1</v>
      </c>
    </row>
    <row r="71" spans="2:50" hidden="1">
      <c r="B71">
        <v>121</v>
      </c>
      <c r="C71">
        <v>39.299999999999997</v>
      </c>
      <c r="D71">
        <v>2359.1999999999998</v>
      </c>
      <c r="G71">
        <v>117.9</v>
      </c>
      <c r="H71">
        <v>39.299999999999997</v>
      </c>
      <c r="I71">
        <v>0</v>
      </c>
      <c r="U71">
        <v>1</v>
      </c>
      <c r="AB71">
        <v>0</v>
      </c>
      <c r="AC71">
        <v>0</v>
      </c>
      <c r="AG71">
        <v>2</v>
      </c>
      <c r="AH71">
        <v>1</v>
      </c>
      <c r="AX71">
        <v>1</v>
      </c>
    </row>
    <row r="72" spans="2:50" hidden="1">
      <c r="B72" t="s">
        <v>166</v>
      </c>
      <c r="C72">
        <v>35</v>
      </c>
      <c r="D72">
        <v>2394.1999999999998</v>
      </c>
      <c r="G72">
        <v>105</v>
      </c>
      <c r="H72">
        <v>35</v>
      </c>
      <c r="I72">
        <v>0</v>
      </c>
      <c r="N72">
        <v>1</v>
      </c>
      <c r="AB72">
        <v>0</v>
      </c>
      <c r="AC72">
        <v>0</v>
      </c>
      <c r="AK72">
        <v>1</v>
      </c>
      <c r="AL72">
        <v>3</v>
      </c>
      <c r="AO72">
        <v>1</v>
      </c>
    </row>
    <row r="73" spans="2:50" hidden="1">
      <c r="B73">
        <v>122</v>
      </c>
      <c r="C73">
        <v>33.700000000000003</v>
      </c>
      <c r="D73">
        <v>2427.9</v>
      </c>
      <c r="G73">
        <v>101.1</v>
      </c>
      <c r="H73">
        <v>33.700000000000003</v>
      </c>
      <c r="I73">
        <v>0</v>
      </c>
      <c r="U73">
        <v>1</v>
      </c>
      <c r="AB73">
        <v>0</v>
      </c>
      <c r="AC73">
        <v>0</v>
      </c>
      <c r="AG73">
        <v>2</v>
      </c>
      <c r="AH73">
        <v>1</v>
      </c>
      <c r="AX73">
        <v>1</v>
      </c>
    </row>
    <row r="74" spans="2:50" hidden="1">
      <c r="B74" t="s">
        <v>167</v>
      </c>
      <c r="C74">
        <v>35</v>
      </c>
      <c r="D74">
        <v>2462.9</v>
      </c>
      <c r="G74">
        <v>105</v>
      </c>
      <c r="H74">
        <v>35</v>
      </c>
      <c r="I74">
        <v>0</v>
      </c>
      <c r="N74">
        <v>1</v>
      </c>
      <c r="AB74">
        <v>0</v>
      </c>
      <c r="AC74">
        <v>0</v>
      </c>
      <c r="AK74">
        <v>1</v>
      </c>
      <c r="AL74">
        <v>6</v>
      </c>
      <c r="AO74">
        <v>1</v>
      </c>
    </row>
    <row r="75" spans="2:50" hidden="1">
      <c r="B75">
        <v>123</v>
      </c>
      <c r="C75">
        <v>34.299999999999997</v>
      </c>
      <c r="D75">
        <v>2497.1999999999998</v>
      </c>
      <c r="G75">
        <v>102.9</v>
      </c>
      <c r="H75">
        <v>34.299999999999997</v>
      </c>
      <c r="I75">
        <v>0</v>
      </c>
      <c r="J75">
        <v>2.5</v>
      </c>
      <c r="K75">
        <v>1</v>
      </c>
      <c r="R75">
        <v>1</v>
      </c>
      <c r="U75">
        <v>1</v>
      </c>
      <c r="AB75">
        <v>0</v>
      </c>
      <c r="AC75">
        <v>0</v>
      </c>
      <c r="AG75">
        <v>2</v>
      </c>
      <c r="AH75">
        <v>1</v>
      </c>
      <c r="AL75">
        <v>3</v>
      </c>
      <c r="AP75">
        <v>1</v>
      </c>
      <c r="AQ75">
        <v>1</v>
      </c>
      <c r="AT75">
        <v>1</v>
      </c>
      <c r="AV75">
        <v>0</v>
      </c>
      <c r="AW75">
        <v>2</v>
      </c>
      <c r="AX75">
        <v>1</v>
      </c>
    </row>
    <row r="76" spans="2:50" hidden="1">
      <c r="B76" t="s">
        <v>168</v>
      </c>
      <c r="C76">
        <v>38</v>
      </c>
      <c r="D76">
        <v>2535.1999999999998</v>
      </c>
      <c r="G76">
        <v>114</v>
      </c>
      <c r="H76">
        <v>38</v>
      </c>
      <c r="I76">
        <v>0</v>
      </c>
      <c r="N76">
        <v>1</v>
      </c>
      <c r="AB76">
        <v>0</v>
      </c>
      <c r="AC76">
        <v>0</v>
      </c>
      <c r="AK76">
        <v>1</v>
      </c>
      <c r="AL76">
        <v>3</v>
      </c>
      <c r="AO76">
        <v>1</v>
      </c>
    </row>
    <row r="77" spans="2:50" hidden="1">
      <c r="B77">
        <v>124</v>
      </c>
      <c r="C77">
        <v>41.6</v>
      </c>
      <c r="D77">
        <v>2576.8000000000002</v>
      </c>
      <c r="G77">
        <v>124.8</v>
      </c>
      <c r="H77">
        <v>41.6</v>
      </c>
      <c r="I77">
        <v>0</v>
      </c>
      <c r="U77">
        <v>1</v>
      </c>
      <c r="AB77">
        <v>0</v>
      </c>
      <c r="AC77">
        <v>0</v>
      </c>
      <c r="AG77">
        <v>2</v>
      </c>
      <c r="AH77">
        <v>1</v>
      </c>
      <c r="AX77">
        <v>1</v>
      </c>
    </row>
    <row r="78" spans="2:50" hidden="1">
      <c r="B78" t="s">
        <v>169</v>
      </c>
      <c r="C78">
        <v>33.6</v>
      </c>
      <c r="D78">
        <v>2610.4</v>
      </c>
      <c r="G78">
        <v>100.8</v>
      </c>
      <c r="H78">
        <v>33.6</v>
      </c>
      <c r="I78">
        <v>0</v>
      </c>
      <c r="M78">
        <v>1</v>
      </c>
      <c r="AB78">
        <v>0</v>
      </c>
      <c r="AC78">
        <v>0</v>
      </c>
      <c r="AI78">
        <v>1</v>
      </c>
      <c r="AJ78">
        <v>1</v>
      </c>
      <c r="AL78">
        <v>3</v>
      </c>
    </row>
    <row r="79" spans="2:50" hidden="1">
      <c r="B79">
        <v>125</v>
      </c>
      <c r="C79">
        <v>34</v>
      </c>
      <c r="D79">
        <v>2644.4</v>
      </c>
      <c r="G79">
        <v>102</v>
      </c>
      <c r="H79">
        <v>34</v>
      </c>
      <c r="I79">
        <v>0</v>
      </c>
      <c r="U79">
        <v>1</v>
      </c>
      <c r="AB79">
        <v>0</v>
      </c>
      <c r="AC79">
        <v>0</v>
      </c>
      <c r="AG79">
        <v>2</v>
      </c>
      <c r="AH79">
        <v>1</v>
      </c>
      <c r="AX79">
        <v>1</v>
      </c>
    </row>
    <row r="80" spans="2:50" hidden="1">
      <c r="B80" t="s">
        <v>170</v>
      </c>
      <c r="C80">
        <v>36</v>
      </c>
      <c r="D80">
        <v>2680.4</v>
      </c>
      <c r="G80">
        <v>108</v>
      </c>
      <c r="H80">
        <v>36</v>
      </c>
      <c r="I80">
        <v>0</v>
      </c>
      <c r="AB80">
        <v>0</v>
      </c>
      <c r="AC80">
        <v>0</v>
      </c>
    </row>
    <row r="81" spans="2:51" hidden="1">
      <c r="B81">
        <v>126</v>
      </c>
      <c r="C81">
        <v>36.299999999999997</v>
      </c>
      <c r="D81">
        <v>2716.7</v>
      </c>
      <c r="G81">
        <v>108.9</v>
      </c>
      <c r="I81">
        <v>0</v>
      </c>
      <c r="U81">
        <v>1</v>
      </c>
      <c r="AB81">
        <v>0</v>
      </c>
      <c r="AC81">
        <v>0</v>
      </c>
      <c r="AG81">
        <v>2</v>
      </c>
      <c r="AH81">
        <v>1</v>
      </c>
      <c r="AX81">
        <v>1</v>
      </c>
    </row>
    <row r="82" spans="2:51" hidden="1">
      <c r="B82" t="s">
        <v>171</v>
      </c>
      <c r="C82">
        <v>34</v>
      </c>
      <c r="D82">
        <v>2750.7</v>
      </c>
      <c r="G82">
        <v>102</v>
      </c>
      <c r="I82">
        <v>0</v>
      </c>
      <c r="N82">
        <v>1</v>
      </c>
      <c r="AB82">
        <v>0</v>
      </c>
      <c r="AC82">
        <v>0</v>
      </c>
      <c r="AI82">
        <v>1</v>
      </c>
      <c r="AK82">
        <v>1</v>
      </c>
      <c r="AL82">
        <v>2</v>
      </c>
    </row>
    <row r="83" spans="2:51" hidden="1">
      <c r="B83">
        <v>127</v>
      </c>
      <c r="C83">
        <v>34</v>
      </c>
      <c r="D83">
        <v>2784.7</v>
      </c>
      <c r="G83">
        <v>102</v>
      </c>
      <c r="I83">
        <v>28</v>
      </c>
      <c r="J83">
        <v>2.5</v>
      </c>
      <c r="K83">
        <v>1</v>
      </c>
      <c r="R83">
        <v>1</v>
      </c>
      <c r="U83">
        <v>1</v>
      </c>
      <c r="AB83">
        <v>0</v>
      </c>
      <c r="AC83">
        <v>0</v>
      </c>
      <c r="AG83">
        <v>2</v>
      </c>
      <c r="AH83">
        <v>1</v>
      </c>
      <c r="AQ83">
        <v>1</v>
      </c>
      <c r="AT83">
        <v>1</v>
      </c>
      <c r="AV83">
        <v>2</v>
      </c>
      <c r="AW83">
        <v>0</v>
      </c>
      <c r="AX83">
        <v>1</v>
      </c>
    </row>
    <row r="84" spans="2:51" hidden="1">
      <c r="B84" t="s">
        <v>172</v>
      </c>
      <c r="C84">
        <v>34.9</v>
      </c>
      <c r="D84">
        <v>2819.6</v>
      </c>
      <c r="G84">
        <v>104.7</v>
      </c>
      <c r="I84">
        <v>0</v>
      </c>
      <c r="N84">
        <v>1</v>
      </c>
      <c r="AB84">
        <v>0</v>
      </c>
      <c r="AC84">
        <v>0</v>
      </c>
      <c r="AI84">
        <v>1</v>
      </c>
      <c r="AK84">
        <v>1</v>
      </c>
      <c r="AL84">
        <v>3</v>
      </c>
    </row>
    <row r="85" spans="2:51">
      <c r="B85">
        <v>128</v>
      </c>
      <c r="C85">
        <v>41.5</v>
      </c>
      <c r="D85">
        <v>2861.1</v>
      </c>
      <c r="G85">
        <v>124.5</v>
      </c>
      <c r="I85">
        <v>0</v>
      </c>
      <c r="K85">
        <v>1</v>
      </c>
      <c r="Y85">
        <v>1</v>
      </c>
      <c r="AB85">
        <v>0</v>
      </c>
      <c r="AC85">
        <v>2</v>
      </c>
      <c r="AD85">
        <v>6</v>
      </c>
      <c r="AG85">
        <v>1</v>
      </c>
      <c r="AY85">
        <v>1</v>
      </c>
    </row>
    <row r="86" spans="2:51" hidden="1">
      <c r="B86" t="s">
        <v>173</v>
      </c>
      <c r="C86">
        <v>34</v>
      </c>
      <c r="D86">
        <v>2895.1</v>
      </c>
      <c r="G86">
        <v>102</v>
      </c>
      <c r="I86">
        <v>0</v>
      </c>
      <c r="N86">
        <v>1</v>
      </c>
      <c r="AB86">
        <v>0</v>
      </c>
      <c r="AC86">
        <v>0</v>
      </c>
      <c r="AI86">
        <v>1</v>
      </c>
      <c r="AK86">
        <v>1</v>
      </c>
      <c r="AL86">
        <v>2</v>
      </c>
    </row>
    <row r="87" spans="2:51" hidden="1">
      <c r="B87">
        <v>129</v>
      </c>
      <c r="C87">
        <v>33.299999999999997</v>
      </c>
      <c r="D87">
        <v>2928.4</v>
      </c>
      <c r="G87">
        <v>99.9</v>
      </c>
      <c r="I87">
        <v>0</v>
      </c>
      <c r="K87">
        <v>1</v>
      </c>
      <c r="AB87">
        <v>0</v>
      </c>
      <c r="AC87">
        <v>0</v>
      </c>
      <c r="AD87">
        <v>3</v>
      </c>
      <c r="AE87">
        <v>3</v>
      </c>
      <c r="AI87">
        <v>1</v>
      </c>
      <c r="AK87">
        <v>1</v>
      </c>
      <c r="AL87">
        <v>7</v>
      </c>
      <c r="AX87">
        <v>1</v>
      </c>
    </row>
    <row r="88" spans="2:51" hidden="1">
      <c r="B88" t="s">
        <v>174</v>
      </c>
      <c r="C88">
        <v>37</v>
      </c>
      <c r="D88">
        <v>2965.4</v>
      </c>
      <c r="G88">
        <v>111</v>
      </c>
      <c r="I88">
        <v>0</v>
      </c>
      <c r="N88">
        <v>1</v>
      </c>
      <c r="AB88">
        <v>0</v>
      </c>
      <c r="AC88">
        <v>0</v>
      </c>
      <c r="AI88">
        <v>1</v>
      </c>
      <c r="AK88">
        <v>1</v>
      </c>
      <c r="AL88">
        <v>2</v>
      </c>
    </row>
    <row r="89" spans="2:51" hidden="1">
      <c r="B89">
        <v>130</v>
      </c>
      <c r="C89">
        <v>37.4</v>
      </c>
      <c r="D89">
        <v>3002.8</v>
      </c>
      <c r="G89">
        <v>112.2</v>
      </c>
      <c r="I89">
        <v>0</v>
      </c>
      <c r="U89">
        <v>1</v>
      </c>
      <c r="AB89">
        <v>0</v>
      </c>
      <c r="AC89">
        <v>0</v>
      </c>
      <c r="AG89">
        <v>2</v>
      </c>
      <c r="AH89">
        <v>1</v>
      </c>
      <c r="AX89">
        <v>1</v>
      </c>
    </row>
    <row r="90" spans="2:51" hidden="1">
      <c r="B90" t="s">
        <v>175</v>
      </c>
      <c r="C90">
        <v>33</v>
      </c>
      <c r="D90">
        <v>3035.8</v>
      </c>
      <c r="G90">
        <v>99</v>
      </c>
      <c r="I90">
        <v>0</v>
      </c>
      <c r="N90">
        <v>1</v>
      </c>
      <c r="AB90">
        <v>0</v>
      </c>
      <c r="AC90">
        <v>0</v>
      </c>
      <c r="AI90">
        <v>1</v>
      </c>
      <c r="AK90">
        <v>1</v>
      </c>
      <c r="AL90">
        <v>2</v>
      </c>
    </row>
    <row r="91" spans="2:51" hidden="1">
      <c r="B91">
        <v>131</v>
      </c>
      <c r="C91">
        <v>33.5</v>
      </c>
      <c r="D91">
        <v>3069.3</v>
      </c>
      <c r="G91">
        <v>100.5</v>
      </c>
      <c r="I91">
        <v>0</v>
      </c>
      <c r="U91">
        <v>1</v>
      </c>
      <c r="AB91">
        <v>0</v>
      </c>
      <c r="AC91">
        <v>0</v>
      </c>
      <c r="AG91">
        <v>2</v>
      </c>
      <c r="AH91">
        <v>1</v>
      </c>
      <c r="AX91">
        <v>1</v>
      </c>
    </row>
    <row r="92" spans="2:51" hidden="1">
      <c r="B92" t="s">
        <v>176</v>
      </c>
      <c r="C92">
        <v>34</v>
      </c>
      <c r="D92">
        <v>3103.3</v>
      </c>
      <c r="G92">
        <v>102</v>
      </c>
      <c r="I92">
        <v>0</v>
      </c>
      <c r="N92">
        <v>1</v>
      </c>
      <c r="AB92">
        <v>0</v>
      </c>
      <c r="AC92">
        <v>0</v>
      </c>
      <c r="AI92">
        <v>1</v>
      </c>
      <c r="AK92">
        <v>2</v>
      </c>
      <c r="AL92">
        <v>6</v>
      </c>
    </row>
    <row r="93" spans="2:51" hidden="1">
      <c r="B93">
        <v>132</v>
      </c>
      <c r="C93">
        <v>34.200000000000003</v>
      </c>
      <c r="D93">
        <v>3137.5</v>
      </c>
      <c r="G93">
        <v>102.6</v>
      </c>
      <c r="I93">
        <v>0</v>
      </c>
      <c r="U93">
        <v>1</v>
      </c>
      <c r="AB93">
        <v>0</v>
      </c>
      <c r="AC93">
        <v>0</v>
      </c>
      <c r="AG93">
        <v>2</v>
      </c>
      <c r="AH93">
        <v>1</v>
      </c>
      <c r="AX93">
        <v>1</v>
      </c>
    </row>
    <row r="94" spans="2:51" hidden="1">
      <c r="B94" t="s">
        <v>177</v>
      </c>
      <c r="C94">
        <v>38.200000000000003</v>
      </c>
      <c r="D94">
        <v>3175.7</v>
      </c>
      <c r="G94">
        <v>114.6</v>
      </c>
      <c r="I94">
        <v>3</v>
      </c>
      <c r="U94">
        <v>1</v>
      </c>
      <c r="AB94">
        <v>0</v>
      </c>
      <c r="AC94">
        <v>0</v>
      </c>
      <c r="AG94">
        <v>2</v>
      </c>
      <c r="AH94">
        <v>1</v>
      </c>
      <c r="AX94">
        <v>1</v>
      </c>
    </row>
    <row r="95" spans="2:51" hidden="1">
      <c r="B95" t="s">
        <v>178</v>
      </c>
      <c r="C95">
        <v>12</v>
      </c>
      <c r="D95">
        <v>3187.7</v>
      </c>
      <c r="G95">
        <v>36</v>
      </c>
      <c r="I95">
        <v>9</v>
      </c>
      <c r="U95">
        <v>1</v>
      </c>
      <c r="AB95">
        <v>0</v>
      </c>
      <c r="AC95">
        <v>0</v>
      </c>
      <c r="AG95">
        <v>2</v>
      </c>
      <c r="AH95">
        <v>1</v>
      </c>
      <c r="AX95">
        <v>1</v>
      </c>
    </row>
    <row r="96" spans="2:51" hidden="1">
      <c r="B96">
        <v>133</v>
      </c>
      <c r="C96">
        <v>27.9</v>
      </c>
      <c r="D96">
        <v>3215.6</v>
      </c>
      <c r="G96">
        <v>83.7</v>
      </c>
      <c r="I96">
        <v>0</v>
      </c>
      <c r="U96">
        <v>1</v>
      </c>
      <c r="AB96">
        <v>0</v>
      </c>
      <c r="AC96">
        <v>0</v>
      </c>
      <c r="AG96">
        <v>2</v>
      </c>
      <c r="AH96">
        <v>1</v>
      </c>
      <c r="AX96">
        <v>1</v>
      </c>
    </row>
    <row r="97" spans="2:50" hidden="1">
      <c r="B97" t="s">
        <v>179</v>
      </c>
      <c r="C97">
        <v>40</v>
      </c>
      <c r="D97">
        <v>3255.6</v>
      </c>
      <c r="G97">
        <v>120</v>
      </c>
      <c r="I97">
        <v>0</v>
      </c>
      <c r="N97">
        <v>1</v>
      </c>
      <c r="AB97">
        <v>0</v>
      </c>
      <c r="AC97">
        <v>0</v>
      </c>
      <c r="AI97">
        <v>2</v>
      </c>
      <c r="AK97">
        <v>1</v>
      </c>
    </row>
    <row r="98" spans="2:50" hidden="1">
      <c r="B98">
        <v>134</v>
      </c>
      <c r="C98">
        <v>39.4</v>
      </c>
      <c r="D98">
        <v>3295</v>
      </c>
      <c r="G98">
        <v>118.2</v>
      </c>
      <c r="I98">
        <v>0</v>
      </c>
      <c r="V98">
        <v>1</v>
      </c>
      <c r="AB98">
        <v>0</v>
      </c>
      <c r="AC98">
        <v>1</v>
      </c>
      <c r="AG98">
        <v>4</v>
      </c>
      <c r="AH98">
        <v>2</v>
      </c>
      <c r="AX98">
        <v>1</v>
      </c>
    </row>
    <row r="99" spans="2:50" hidden="1">
      <c r="B99" t="s">
        <v>180</v>
      </c>
      <c r="C99">
        <v>40</v>
      </c>
      <c r="D99">
        <v>3335</v>
      </c>
      <c r="G99">
        <v>120</v>
      </c>
      <c r="I99">
        <v>0</v>
      </c>
      <c r="N99">
        <v>1</v>
      </c>
      <c r="AB99">
        <v>0</v>
      </c>
      <c r="AC99">
        <v>0</v>
      </c>
      <c r="AI99">
        <v>1</v>
      </c>
      <c r="AK99">
        <v>1</v>
      </c>
      <c r="AL99">
        <v>3</v>
      </c>
    </row>
    <row r="100" spans="2:50" hidden="1">
      <c r="B100">
        <v>135</v>
      </c>
      <c r="C100">
        <v>40.1</v>
      </c>
      <c r="D100">
        <v>3375.1</v>
      </c>
      <c r="G100">
        <v>120.3</v>
      </c>
      <c r="I100">
        <v>0</v>
      </c>
      <c r="U100">
        <v>1</v>
      </c>
      <c r="AB100">
        <v>0</v>
      </c>
      <c r="AC100">
        <v>0</v>
      </c>
      <c r="AG100">
        <v>2</v>
      </c>
      <c r="AH100">
        <v>1</v>
      </c>
      <c r="AX100">
        <v>1</v>
      </c>
    </row>
    <row r="101" spans="2:50" hidden="1">
      <c r="B101" t="s">
        <v>181</v>
      </c>
      <c r="C101">
        <v>37</v>
      </c>
      <c r="D101">
        <v>3412.1</v>
      </c>
      <c r="G101">
        <v>111</v>
      </c>
      <c r="I101">
        <v>0</v>
      </c>
      <c r="N101">
        <v>1</v>
      </c>
      <c r="AB101">
        <v>0</v>
      </c>
      <c r="AC101">
        <v>0</v>
      </c>
      <c r="AI101">
        <v>1</v>
      </c>
      <c r="AK101">
        <v>1</v>
      </c>
      <c r="AL101">
        <v>2</v>
      </c>
    </row>
    <row r="102" spans="2:50" hidden="1">
      <c r="B102">
        <v>136</v>
      </c>
      <c r="C102">
        <v>36.6</v>
      </c>
      <c r="D102">
        <v>3448.7</v>
      </c>
      <c r="G102">
        <v>109.8</v>
      </c>
      <c r="I102">
        <v>0</v>
      </c>
      <c r="U102">
        <v>1</v>
      </c>
      <c r="AB102">
        <v>0</v>
      </c>
      <c r="AC102">
        <v>0</v>
      </c>
      <c r="AG102">
        <v>2</v>
      </c>
      <c r="AH102">
        <v>1</v>
      </c>
      <c r="AX102">
        <v>1</v>
      </c>
    </row>
    <row r="103" spans="2:50" hidden="1">
      <c r="B103" t="s">
        <v>182</v>
      </c>
      <c r="C103">
        <v>42</v>
      </c>
      <c r="D103">
        <v>3490.7</v>
      </c>
      <c r="G103">
        <v>126</v>
      </c>
      <c r="I103">
        <v>0</v>
      </c>
      <c r="N103">
        <v>1</v>
      </c>
      <c r="AB103">
        <v>0</v>
      </c>
      <c r="AC103">
        <v>0</v>
      </c>
      <c r="AI103">
        <v>1</v>
      </c>
      <c r="AK103">
        <v>2</v>
      </c>
      <c r="AL103">
        <v>6</v>
      </c>
    </row>
    <row r="104" spans="2:50" hidden="1">
      <c r="B104">
        <v>137</v>
      </c>
      <c r="C104">
        <v>41.8</v>
      </c>
      <c r="D104">
        <v>3532.5</v>
      </c>
      <c r="G104">
        <v>125.4</v>
      </c>
      <c r="I104">
        <v>0</v>
      </c>
      <c r="K104">
        <v>1</v>
      </c>
      <c r="R104">
        <v>1</v>
      </c>
      <c r="U104">
        <v>1</v>
      </c>
      <c r="AB104">
        <v>0</v>
      </c>
      <c r="AC104">
        <v>0</v>
      </c>
      <c r="AG104">
        <v>2</v>
      </c>
      <c r="AH104">
        <v>1</v>
      </c>
      <c r="AL104">
        <v>3</v>
      </c>
      <c r="AP104">
        <v>1</v>
      </c>
      <c r="AQ104">
        <v>1</v>
      </c>
      <c r="AT104">
        <v>1</v>
      </c>
      <c r="AV104">
        <v>2</v>
      </c>
      <c r="AX104">
        <v>1</v>
      </c>
    </row>
    <row r="105" spans="2:50" hidden="1">
      <c r="B105" t="s">
        <v>183</v>
      </c>
      <c r="C105">
        <v>36</v>
      </c>
      <c r="D105">
        <v>3568.5</v>
      </c>
      <c r="G105">
        <v>108</v>
      </c>
      <c r="I105">
        <v>0</v>
      </c>
      <c r="N105">
        <v>1</v>
      </c>
      <c r="AB105">
        <v>0</v>
      </c>
      <c r="AC105">
        <v>0</v>
      </c>
      <c r="AI105">
        <v>1</v>
      </c>
      <c r="AK105">
        <v>1</v>
      </c>
      <c r="AL105">
        <v>2</v>
      </c>
    </row>
    <row r="106" spans="2:50" hidden="1">
      <c r="B106">
        <v>138</v>
      </c>
      <c r="C106">
        <v>36.4</v>
      </c>
      <c r="D106">
        <v>3604.9</v>
      </c>
      <c r="G106">
        <v>109.2</v>
      </c>
      <c r="I106">
        <v>0</v>
      </c>
      <c r="U106">
        <v>1</v>
      </c>
      <c r="AB106">
        <v>0</v>
      </c>
      <c r="AC106">
        <v>0</v>
      </c>
      <c r="AG106">
        <v>2</v>
      </c>
      <c r="AH106">
        <v>1</v>
      </c>
    </row>
    <row r="107" spans="2:50" hidden="1">
      <c r="B107" t="s">
        <v>184</v>
      </c>
      <c r="C107">
        <v>43</v>
      </c>
      <c r="D107">
        <v>3647.9</v>
      </c>
      <c r="G107">
        <v>129</v>
      </c>
      <c r="I107">
        <v>0</v>
      </c>
      <c r="N107">
        <v>1</v>
      </c>
      <c r="AB107">
        <v>0</v>
      </c>
      <c r="AC107">
        <v>0</v>
      </c>
      <c r="AI107">
        <v>1</v>
      </c>
      <c r="AK107">
        <v>1</v>
      </c>
      <c r="AL107">
        <v>2</v>
      </c>
    </row>
    <row r="108" spans="2:50" hidden="1">
      <c r="B108">
        <v>139</v>
      </c>
      <c r="C108">
        <v>43.7</v>
      </c>
      <c r="D108">
        <v>3691.6</v>
      </c>
      <c r="G108">
        <v>131.1</v>
      </c>
      <c r="I108">
        <v>0</v>
      </c>
      <c r="U108">
        <v>1</v>
      </c>
      <c r="AB108">
        <v>0</v>
      </c>
      <c r="AC108">
        <v>0</v>
      </c>
      <c r="AG108">
        <v>2</v>
      </c>
      <c r="AH108">
        <v>1</v>
      </c>
      <c r="AX108">
        <v>1</v>
      </c>
    </row>
    <row r="109" spans="2:50" hidden="1">
      <c r="B109" t="s">
        <v>185</v>
      </c>
      <c r="C109">
        <v>32</v>
      </c>
      <c r="D109">
        <v>3723.6</v>
      </c>
      <c r="G109">
        <v>96</v>
      </c>
      <c r="I109">
        <v>0</v>
      </c>
      <c r="N109">
        <v>1</v>
      </c>
      <c r="AB109">
        <v>0</v>
      </c>
      <c r="AC109">
        <v>0</v>
      </c>
      <c r="AI109">
        <v>1</v>
      </c>
      <c r="AK109">
        <v>1</v>
      </c>
    </row>
    <row r="110" spans="2:50" hidden="1">
      <c r="B110" t="s">
        <v>186</v>
      </c>
      <c r="C110">
        <v>31.5</v>
      </c>
      <c r="D110">
        <v>3755.1</v>
      </c>
      <c r="G110">
        <v>94.5</v>
      </c>
      <c r="I110">
        <v>9</v>
      </c>
      <c r="U110">
        <v>1</v>
      </c>
      <c r="AB110">
        <v>0</v>
      </c>
      <c r="AC110">
        <v>0</v>
      </c>
      <c r="AG110">
        <v>2</v>
      </c>
      <c r="AH110">
        <v>1</v>
      </c>
      <c r="AX110">
        <v>1</v>
      </c>
    </row>
    <row r="111" spans="2:50" hidden="1">
      <c r="B111">
        <v>140</v>
      </c>
      <c r="C111">
        <v>7</v>
      </c>
      <c r="D111">
        <v>3762.1</v>
      </c>
      <c r="G111">
        <v>21</v>
      </c>
      <c r="I111">
        <v>0</v>
      </c>
      <c r="U111">
        <v>1</v>
      </c>
      <c r="AB111">
        <v>0</v>
      </c>
      <c r="AC111">
        <v>0</v>
      </c>
      <c r="AG111">
        <v>2</v>
      </c>
      <c r="AH111">
        <v>1</v>
      </c>
      <c r="AX111">
        <v>1</v>
      </c>
    </row>
    <row r="112" spans="2:50" hidden="1">
      <c r="B112" t="s">
        <v>187</v>
      </c>
      <c r="C112">
        <v>39</v>
      </c>
      <c r="D112">
        <v>3801.1</v>
      </c>
      <c r="G112">
        <v>117</v>
      </c>
      <c r="H112">
        <v>39</v>
      </c>
      <c r="I112">
        <v>0</v>
      </c>
      <c r="AB112">
        <v>0</v>
      </c>
      <c r="AC112">
        <v>0</v>
      </c>
    </row>
    <row r="113" spans="2:50" hidden="1">
      <c r="B113">
        <v>141</v>
      </c>
      <c r="C113">
        <v>38.9</v>
      </c>
      <c r="D113">
        <v>3840</v>
      </c>
      <c r="G113">
        <v>116.7</v>
      </c>
      <c r="H113">
        <v>38.9</v>
      </c>
      <c r="I113">
        <v>0</v>
      </c>
      <c r="U113">
        <v>1</v>
      </c>
      <c r="AB113">
        <v>0</v>
      </c>
      <c r="AC113">
        <v>0</v>
      </c>
      <c r="AG113">
        <v>2</v>
      </c>
      <c r="AH113">
        <v>1</v>
      </c>
      <c r="AX113">
        <v>1</v>
      </c>
    </row>
    <row r="114" spans="2:50" hidden="1">
      <c r="B114" t="s">
        <v>188</v>
      </c>
      <c r="C114">
        <v>40</v>
      </c>
      <c r="D114">
        <v>3880</v>
      </c>
      <c r="G114">
        <v>120</v>
      </c>
      <c r="H114">
        <v>40</v>
      </c>
      <c r="I114">
        <v>0</v>
      </c>
      <c r="N114">
        <v>1</v>
      </c>
      <c r="AB114">
        <v>0</v>
      </c>
      <c r="AC114">
        <v>0</v>
      </c>
      <c r="AK114">
        <v>1</v>
      </c>
      <c r="AL114">
        <v>2</v>
      </c>
      <c r="AO114">
        <v>1</v>
      </c>
    </row>
    <row r="115" spans="2:50" hidden="1">
      <c r="B115">
        <v>142</v>
      </c>
      <c r="C115">
        <v>39.200000000000003</v>
      </c>
      <c r="D115">
        <v>3919.2</v>
      </c>
      <c r="G115">
        <v>117.6</v>
      </c>
      <c r="H115">
        <v>39.200000000000003</v>
      </c>
      <c r="I115">
        <v>0</v>
      </c>
      <c r="U115">
        <v>1</v>
      </c>
      <c r="AB115">
        <v>0</v>
      </c>
      <c r="AC115">
        <v>0</v>
      </c>
      <c r="AG115">
        <v>2</v>
      </c>
      <c r="AH115">
        <v>1</v>
      </c>
      <c r="AX115">
        <v>1</v>
      </c>
    </row>
    <row r="116" spans="2:50" hidden="1">
      <c r="B116" t="s">
        <v>189</v>
      </c>
      <c r="C116">
        <v>41</v>
      </c>
      <c r="D116">
        <v>3960.2</v>
      </c>
      <c r="G116">
        <v>123</v>
      </c>
      <c r="H116">
        <v>41</v>
      </c>
      <c r="I116">
        <v>0</v>
      </c>
      <c r="N116">
        <v>1</v>
      </c>
      <c r="AB116">
        <v>0</v>
      </c>
      <c r="AC116">
        <v>0</v>
      </c>
      <c r="AK116">
        <v>1</v>
      </c>
      <c r="AL116">
        <v>3</v>
      </c>
      <c r="AO116">
        <v>1</v>
      </c>
    </row>
    <row r="117" spans="2:50" hidden="1">
      <c r="B117">
        <v>143</v>
      </c>
      <c r="C117">
        <v>41.3</v>
      </c>
      <c r="D117">
        <v>4001.5</v>
      </c>
      <c r="G117">
        <v>123.9</v>
      </c>
      <c r="H117">
        <v>41.3</v>
      </c>
      <c r="I117">
        <v>0</v>
      </c>
      <c r="U117">
        <v>1</v>
      </c>
      <c r="AB117">
        <v>0</v>
      </c>
      <c r="AC117">
        <v>0</v>
      </c>
      <c r="AG117">
        <v>2</v>
      </c>
      <c r="AH117">
        <v>1</v>
      </c>
      <c r="AX117">
        <v>1</v>
      </c>
    </row>
    <row r="118" spans="2:50" hidden="1">
      <c r="B118" t="s">
        <v>190</v>
      </c>
      <c r="C118">
        <v>44</v>
      </c>
      <c r="D118">
        <v>4045.5</v>
      </c>
      <c r="G118">
        <v>132</v>
      </c>
      <c r="H118">
        <v>44</v>
      </c>
      <c r="I118">
        <v>0</v>
      </c>
      <c r="N118">
        <v>1</v>
      </c>
      <c r="AB118">
        <v>0</v>
      </c>
      <c r="AC118">
        <v>0</v>
      </c>
      <c r="AK118">
        <v>1</v>
      </c>
      <c r="AL118">
        <v>3</v>
      </c>
      <c r="AO118">
        <v>1</v>
      </c>
    </row>
    <row r="119" spans="2:50" hidden="1">
      <c r="B119">
        <v>144</v>
      </c>
      <c r="C119">
        <v>43.8</v>
      </c>
      <c r="D119">
        <v>4089.3</v>
      </c>
      <c r="G119">
        <v>131.4</v>
      </c>
      <c r="H119">
        <v>43.8</v>
      </c>
      <c r="I119">
        <v>0</v>
      </c>
      <c r="U119">
        <v>1</v>
      </c>
      <c r="AB119">
        <v>0</v>
      </c>
      <c r="AC119">
        <v>0</v>
      </c>
      <c r="AG119">
        <v>2</v>
      </c>
      <c r="AH119">
        <v>1</v>
      </c>
      <c r="AX119">
        <v>1</v>
      </c>
    </row>
    <row r="120" spans="2:50" hidden="1">
      <c r="B120" t="s">
        <v>191</v>
      </c>
      <c r="C120">
        <v>38</v>
      </c>
      <c r="D120">
        <v>4127.3</v>
      </c>
      <c r="G120">
        <v>114</v>
      </c>
      <c r="H120">
        <v>38</v>
      </c>
      <c r="I120">
        <v>0</v>
      </c>
      <c r="N120">
        <v>1</v>
      </c>
      <c r="AB120">
        <v>0</v>
      </c>
      <c r="AC120">
        <v>0</v>
      </c>
      <c r="AK120">
        <v>1</v>
      </c>
      <c r="AL120">
        <v>3</v>
      </c>
      <c r="AO120">
        <v>1</v>
      </c>
    </row>
    <row r="121" spans="2:50" hidden="1">
      <c r="B121">
        <v>145</v>
      </c>
      <c r="C121">
        <v>37.799999999999997</v>
      </c>
      <c r="D121">
        <v>4165.1000000000004</v>
      </c>
      <c r="G121">
        <v>113.4</v>
      </c>
      <c r="H121">
        <v>37.799999999999997</v>
      </c>
      <c r="I121">
        <v>0</v>
      </c>
      <c r="V121">
        <v>1</v>
      </c>
      <c r="AB121">
        <v>0</v>
      </c>
      <c r="AC121">
        <v>1</v>
      </c>
      <c r="AG121">
        <v>4</v>
      </c>
      <c r="AH121">
        <v>2</v>
      </c>
      <c r="AX121">
        <v>1</v>
      </c>
    </row>
    <row r="122" spans="2:50" hidden="1">
      <c r="B122" t="s">
        <v>192</v>
      </c>
      <c r="C122">
        <v>27</v>
      </c>
      <c r="D122">
        <v>4192.1000000000004</v>
      </c>
      <c r="G122">
        <v>81</v>
      </c>
      <c r="H122">
        <v>27</v>
      </c>
      <c r="I122">
        <v>0</v>
      </c>
      <c r="N122">
        <v>1</v>
      </c>
      <c r="AB122">
        <v>0</v>
      </c>
      <c r="AC122">
        <v>0</v>
      </c>
      <c r="AK122">
        <v>1</v>
      </c>
      <c r="AL122">
        <v>5</v>
      </c>
      <c r="AO122">
        <v>1</v>
      </c>
    </row>
    <row r="123" spans="2:50" hidden="1">
      <c r="B123" t="s">
        <v>193</v>
      </c>
      <c r="C123">
        <v>26.5</v>
      </c>
      <c r="D123">
        <v>4218.6000000000004</v>
      </c>
      <c r="G123">
        <v>79.5</v>
      </c>
      <c r="H123">
        <v>26.5</v>
      </c>
      <c r="I123">
        <v>0</v>
      </c>
      <c r="U123">
        <v>1</v>
      </c>
      <c r="AB123">
        <v>0</v>
      </c>
      <c r="AC123">
        <v>0</v>
      </c>
      <c r="AG123">
        <v>2</v>
      </c>
      <c r="AH123">
        <v>1</v>
      </c>
      <c r="AX123">
        <v>1</v>
      </c>
    </row>
    <row r="124" spans="2:50" hidden="1">
      <c r="B124">
        <v>146</v>
      </c>
      <c r="C124">
        <v>15.6</v>
      </c>
      <c r="D124">
        <v>4234.2</v>
      </c>
      <c r="G124">
        <v>46.8</v>
      </c>
      <c r="H124">
        <v>15.6</v>
      </c>
      <c r="I124">
        <v>3</v>
      </c>
      <c r="U124">
        <v>1</v>
      </c>
      <c r="AB124">
        <v>0</v>
      </c>
      <c r="AC124">
        <v>0</v>
      </c>
      <c r="AG124">
        <v>2</v>
      </c>
      <c r="AH124">
        <v>1</v>
      </c>
      <c r="AX124">
        <v>1</v>
      </c>
    </row>
    <row r="125" spans="2:50" hidden="1">
      <c r="B125" t="s">
        <v>194</v>
      </c>
      <c r="C125">
        <v>33</v>
      </c>
      <c r="D125">
        <v>4267.2</v>
      </c>
      <c r="G125">
        <v>99</v>
      </c>
      <c r="H125">
        <v>33</v>
      </c>
      <c r="I125">
        <v>0</v>
      </c>
      <c r="N125">
        <v>1</v>
      </c>
      <c r="AB125">
        <v>0</v>
      </c>
      <c r="AC125">
        <v>0</v>
      </c>
      <c r="AK125">
        <v>1</v>
      </c>
      <c r="AL125">
        <v>3</v>
      </c>
      <c r="AO125">
        <v>1</v>
      </c>
    </row>
    <row r="126" spans="2:50" hidden="1">
      <c r="B126">
        <v>147</v>
      </c>
      <c r="C126">
        <v>31.9</v>
      </c>
      <c r="D126">
        <v>4299.1000000000004</v>
      </c>
      <c r="G126">
        <v>95.7</v>
      </c>
      <c r="H126">
        <v>31.9</v>
      </c>
      <c r="I126">
        <v>0</v>
      </c>
      <c r="J126">
        <v>2.5</v>
      </c>
      <c r="K126">
        <v>1</v>
      </c>
      <c r="R126">
        <v>1</v>
      </c>
      <c r="U126">
        <v>1</v>
      </c>
      <c r="AB126">
        <v>0</v>
      </c>
      <c r="AC126">
        <v>0</v>
      </c>
      <c r="AG126">
        <v>2</v>
      </c>
      <c r="AH126">
        <v>1</v>
      </c>
      <c r="AL126">
        <v>3</v>
      </c>
      <c r="AP126">
        <v>1</v>
      </c>
      <c r="AQ126">
        <v>1</v>
      </c>
      <c r="AT126">
        <v>1</v>
      </c>
      <c r="AW126">
        <v>2</v>
      </c>
      <c r="AX126">
        <v>1</v>
      </c>
    </row>
    <row r="127" spans="2:50" hidden="1">
      <c r="B127" t="s">
        <v>195</v>
      </c>
      <c r="C127">
        <v>34</v>
      </c>
      <c r="D127">
        <v>4333.1000000000004</v>
      </c>
      <c r="G127">
        <v>102</v>
      </c>
      <c r="H127">
        <v>34</v>
      </c>
      <c r="I127">
        <v>0</v>
      </c>
      <c r="N127">
        <v>1</v>
      </c>
      <c r="AB127">
        <v>0</v>
      </c>
      <c r="AC127">
        <v>0</v>
      </c>
      <c r="AO127">
        <v>1</v>
      </c>
    </row>
    <row r="128" spans="2:50">
      <c r="B128">
        <v>148</v>
      </c>
      <c r="C128">
        <v>34.6</v>
      </c>
      <c r="D128">
        <v>4367.7</v>
      </c>
      <c r="G128">
        <v>103.8</v>
      </c>
      <c r="H128">
        <v>34.6</v>
      </c>
      <c r="I128">
        <v>0</v>
      </c>
      <c r="K128">
        <v>1</v>
      </c>
      <c r="X128">
        <v>1</v>
      </c>
      <c r="Y128">
        <v>0</v>
      </c>
      <c r="AB128">
        <v>0</v>
      </c>
      <c r="AC128">
        <v>0</v>
      </c>
      <c r="AF128">
        <v>3</v>
      </c>
      <c r="AG128">
        <v>4</v>
      </c>
      <c r="AH128">
        <v>0</v>
      </c>
      <c r="AI128">
        <v>1</v>
      </c>
      <c r="AK128">
        <v>1</v>
      </c>
      <c r="AO128">
        <v>1</v>
      </c>
      <c r="AX128">
        <v>1</v>
      </c>
    </row>
    <row r="129" spans="2:50" hidden="1">
      <c r="B129" t="s">
        <v>196</v>
      </c>
      <c r="C129">
        <v>32</v>
      </c>
      <c r="D129">
        <v>4399.7</v>
      </c>
      <c r="G129">
        <v>96</v>
      </c>
      <c r="H129">
        <v>32</v>
      </c>
      <c r="I129">
        <v>0</v>
      </c>
      <c r="N129">
        <v>1</v>
      </c>
      <c r="AB129">
        <v>0</v>
      </c>
      <c r="AC129">
        <v>0</v>
      </c>
      <c r="AO129">
        <v>1</v>
      </c>
    </row>
    <row r="130" spans="2:50" hidden="1">
      <c r="B130">
        <v>149</v>
      </c>
      <c r="C130">
        <v>30.5</v>
      </c>
      <c r="D130">
        <v>4430.2</v>
      </c>
      <c r="G130">
        <v>91.5</v>
      </c>
      <c r="H130">
        <v>30.5</v>
      </c>
      <c r="I130">
        <v>0</v>
      </c>
      <c r="U130">
        <v>1</v>
      </c>
      <c r="AB130">
        <v>0</v>
      </c>
      <c r="AC130">
        <v>0</v>
      </c>
      <c r="AG130">
        <v>2</v>
      </c>
      <c r="AH130">
        <v>1</v>
      </c>
      <c r="AX130">
        <v>1</v>
      </c>
    </row>
    <row r="131" spans="2:50" hidden="1">
      <c r="B131" t="s">
        <v>197</v>
      </c>
      <c r="C131">
        <v>27</v>
      </c>
      <c r="D131">
        <v>4457.2</v>
      </c>
      <c r="G131">
        <v>81</v>
      </c>
      <c r="H131">
        <v>27</v>
      </c>
      <c r="I131">
        <v>0</v>
      </c>
      <c r="N131">
        <v>1</v>
      </c>
      <c r="AB131">
        <v>0</v>
      </c>
      <c r="AC131">
        <v>0</v>
      </c>
      <c r="AK131">
        <v>1</v>
      </c>
      <c r="AL131">
        <v>2</v>
      </c>
      <c r="AO131">
        <v>1</v>
      </c>
    </row>
    <row r="132" spans="2:50">
      <c r="B132">
        <v>150</v>
      </c>
      <c r="C132">
        <v>28.3</v>
      </c>
      <c r="D132">
        <v>4485.5</v>
      </c>
      <c r="G132">
        <v>84.9</v>
      </c>
      <c r="H132">
        <v>28.3</v>
      </c>
      <c r="I132">
        <v>0</v>
      </c>
      <c r="K132">
        <v>1</v>
      </c>
      <c r="Y132">
        <v>1</v>
      </c>
      <c r="AB132">
        <v>0</v>
      </c>
      <c r="AC132">
        <v>0</v>
      </c>
      <c r="AD132">
        <v>6</v>
      </c>
      <c r="AF132">
        <v>3</v>
      </c>
      <c r="AG132">
        <v>1</v>
      </c>
      <c r="AH132">
        <v>1</v>
      </c>
      <c r="AK132">
        <v>1</v>
      </c>
      <c r="AO132">
        <v>1</v>
      </c>
      <c r="AQ132">
        <v>3</v>
      </c>
      <c r="AX132">
        <v>1</v>
      </c>
    </row>
    <row r="133" spans="2:50" hidden="1">
      <c r="B133" t="s">
        <v>198</v>
      </c>
      <c r="C133">
        <v>37</v>
      </c>
      <c r="D133">
        <v>4522.5</v>
      </c>
      <c r="G133">
        <v>111</v>
      </c>
      <c r="H133">
        <v>37</v>
      </c>
      <c r="I133">
        <v>0</v>
      </c>
      <c r="N133">
        <v>1</v>
      </c>
      <c r="AB133">
        <v>0</v>
      </c>
      <c r="AC133">
        <v>0</v>
      </c>
      <c r="AK133">
        <v>1</v>
      </c>
      <c r="AL133">
        <v>3</v>
      </c>
      <c r="AO133">
        <v>1</v>
      </c>
    </row>
    <row r="134" spans="2:50" hidden="1">
      <c r="B134">
        <v>151</v>
      </c>
      <c r="C134">
        <v>37.1</v>
      </c>
      <c r="D134">
        <v>4559.6000000000004</v>
      </c>
      <c r="G134">
        <v>111.3</v>
      </c>
      <c r="H134">
        <v>37.1</v>
      </c>
      <c r="I134">
        <v>12</v>
      </c>
      <c r="U134">
        <v>1</v>
      </c>
      <c r="AB134">
        <v>0</v>
      </c>
      <c r="AC134">
        <v>0</v>
      </c>
      <c r="AG134">
        <v>2</v>
      </c>
      <c r="AH134">
        <v>1</v>
      </c>
      <c r="AX134">
        <v>1</v>
      </c>
    </row>
    <row r="135" spans="2:50" hidden="1">
      <c r="B135" t="s">
        <v>199</v>
      </c>
      <c r="C135">
        <v>33</v>
      </c>
      <c r="D135">
        <v>4592.6000000000004</v>
      </c>
      <c r="G135">
        <v>99</v>
      </c>
      <c r="H135">
        <v>33</v>
      </c>
      <c r="I135">
        <v>0</v>
      </c>
      <c r="N135">
        <v>1</v>
      </c>
      <c r="AB135">
        <v>0</v>
      </c>
      <c r="AC135">
        <v>0</v>
      </c>
      <c r="AO135">
        <v>1</v>
      </c>
    </row>
    <row r="136" spans="2:50" hidden="1">
      <c r="B136">
        <v>152</v>
      </c>
      <c r="C136">
        <v>33.1</v>
      </c>
      <c r="D136">
        <v>4625.7</v>
      </c>
      <c r="G136">
        <v>99.3</v>
      </c>
      <c r="H136">
        <v>33.1</v>
      </c>
      <c r="I136">
        <v>0</v>
      </c>
      <c r="U136">
        <v>1</v>
      </c>
      <c r="AB136">
        <v>0</v>
      </c>
      <c r="AC136">
        <v>0</v>
      </c>
      <c r="AG136">
        <v>2</v>
      </c>
      <c r="AH136">
        <v>1</v>
      </c>
      <c r="AX136">
        <v>1</v>
      </c>
    </row>
    <row r="137" spans="2:50" hidden="1">
      <c r="B137" t="s">
        <v>200</v>
      </c>
      <c r="C137">
        <v>34</v>
      </c>
      <c r="D137">
        <v>4659.7</v>
      </c>
      <c r="G137">
        <v>102</v>
      </c>
      <c r="H137">
        <v>34</v>
      </c>
      <c r="I137">
        <v>0</v>
      </c>
      <c r="N137">
        <v>1</v>
      </c>
      <c r="AB137">
        <v>0</v>
      </c>
      <c r="AC137">
        <v>0</v>
      </c>
      <c r="AK137">
        <v>1</v>
      </c>
      <c r="AL137">
        <v>3</v>
      </c>
      <c r="AO137">
        <v>1</v>
      </c>
    </row>
    <row r="138" spans="2:50" hidden="1">
      <c r="B138">
        <v>153</v>
      </c>
      <c r="C138">
        <v>33.200000000000003</v>
      </c>
      <c r="D138">
        <v>4692.8999999999996</v>
      </c>
      <c r="G138">
        <v>99.6</v>
      </c>
      <c r="H138">
        <v>33.200000000000003</v>
      </c>
      <c r="I138">
        <v>0</v>
      </c>
      <c r="V138">
        <v>1</v>
      </c>
      <c r="AB138">
        <v>0</v>
      </c>
      <c r="AC138">
        <v>1</v>
      </c>
      <c r="AG138">
        <v>4</v>
      </c>
      <c r="AH138">
        <v>2</v>
      </c>
      <c r="AX138">
        <v>1</v>
      </c>
    </row>
    <row r="139" spans="2:50" hidden="1">
      <c r="B139" t="s">
        <v>201</v>
      </c>
      <c r="C139">
        <v>33</v>
      </c>
      <c r="D139">
        <v>4725.8999999999996</v>
      </c>
      <c r="G139">
        <v>99</v>
      </c>
      <c r="H139">
        <v>33</v>
      </c>
      <c r="I139">
        <v>0</v>
      </c>
      <c r="N139">
        <v>1</v>
      </c>
      <c r="AB139">
        <v>0</v>
      </c>
      <c r="AC139">
        <v>0</v>
      </c>
      <c r="AK139">
        <v>1</v>
      </c>
      <c r="AL139">
        <v>3</v>
      </c>
      <c r="AO139">
        <v>1</v>
      </c>
    </row>
    <row r="140" spans="2:50" hidden="1">
      <c r="B140">
        <v>154</v>
      </c>
      <c r="C140">
        <v>32.200000000000003</v>
      </c>
      <c r="D140">
        <v>4758.1000000000004</v>
      </c>
      <c r="G140">
        <v>96.6</v>
      </c>
      <c r="H140">
        <v>32.200000000000003</v>
      </c>
      <c r="I140">
        <v>0</v>
      </c>
      <c r="U140">
        <v>1</v>
      </c>
      <c r="AB140">
        <v>0</v>
      </c>
      <c r="AC140">
        <v>0</v>
      </c>
      <c r="AG140">
        <v>2</v>
      </c>
      <c r="AH140">
        <v>1</v>
      </c>
      <c r="AX140">
        <v>1</v>
      </c>
    </row>
    <row r="141" spans="2:50" hidden="1">
      <c r="B141" t="s">
        <v>202</v>
      </c>
      <c r="C141">
        <v>31</v>
      </c>
      <c r="D141">
        <v>4789.1000000000004</v>
      </c>
      <c r="G141">
        <v>93</v>
      </c>
      <c r="H141">
        <v>31</v>
      </c>
      <c r="I141">
        <v>0</v>
      </c>
      <c r="AB141">
        <v>0</v>
      </c>
      <c r="AC141">
        <v>0</v>
      </c>
    </row>
    <row r="142" spans="2:50" hidden="1">
      <c r="B142">
        <v>155</v>
      </c>
      <c r="C142">
        <v>31.5</v>
      </c>
      <c r="D142">
        <v>4820.6000000000004</v>
      </c>
      <c r="G142">
        <v>94.5</v>
      </c>
      <c r="H142">
        <v>31.5</v>
      </c>
      <c r="I142">
        <v>0</v>
      </c>
      <c r="U142">
        <v>1</v>
      </c>
      <c r="AB142">
        <v>0</v>
      </c>
      <c r="AC142">
        <v>0</v>
      </c>
      <c r="AG142">
        <v>2</v>
      </c>
      <c r="AH142">
        <v>1</v>
      </c>
      <c r="AX142">
        <v>1</v>
      </c>
    </row>
    <row r="143" spans="2:50" hidden="1">
      <c r="B143" t="s">
        <v>203</v>
      </c>
      <c r="C143">
        <v>40</v>
      </c>
      <c r="D143">
        <v>4860.6000000000004</v>
      </c>
      <c r="G143">
        <v>120</v>
      </c>
      <c r="I143">
        <v>0</v>
      </c>
      <c r="N143">
        <v>1</v>
      </c>
      <c r="AB143">
        <v>0</v>
      </c>
      <c r="AC143">
        <v>0</v>
      </c>
      <c r="AI143">
        <v>1</v>
      </c>
      <c r="AK143">
        <v>1</v>
      </c>
      <c r="AL143">
        <v>3</v>
      </c>
      <c r="AM143">
        <v>1</v>
      </c>
    </row>
    <row r="144" spans="2:50" hidden="1">
      <c r="B144">
        <v>156</v>
      </c>
      <c r="C144">
        <v>39.700000000000003</v>
      </c>
      <c r="D144">
        <v>4900.3</v>
      </c>
      <c r="G144">
        <v>119.1</v>
      </c>
      <c r="I144">
        <v>0</v>
      </c>
      <c r="U144">
        <v>1</v>
      </c>
      <c r="AB144">
        <v>0</v>
      </c>
      <c r="AC144">
        <v>0</v>
      </c>
      <c r="AG144">
        <v>2</v>
      </c>
      <c r="AH144">
        <v>1</v>
      </c>
      <c r="AX144">
        <v>1</v>
      </c>
    </row>
    <row r="145" spans="2:50" hidden="1">
      <c r="B145" t="s">
        <v>204</v>
      </c>
      <c r="C145">
        <v>37.200000000000003</v>
      </c>
      <c r="D145">
        <v>4937.5</v>
      </c>
      <c r="G145">
        <v>111.6</v>
      </c>
      <c r="I145">
        <v>0</v>
      </c>
      <c r="N145">
        <v>1</v>
      </c>
      <c r="AB145">
        <v>0</v>
      </c>
      <c r="AC145">
        <v>0</v>
      </c>
      <c r="AI145">
        <v>1</v>
      </c>
      <c r="AK145">
        <v>1</v>
      </c>
      <c r="AL145">
        <v>4</v>
      </c>
    </row>
    <row r="146" spans="2:50" hidden="1">
      <c r="B146">
        <v>157</v>
      </c>
      <c r="C146">
        <v>38</v>
      </c>
      <c r="D146">
        <v>4975.5</v>
      </c>
      <c r="G146">
        <v>114</v>
      </c>
      <c r="I146">
        <v>0</v>
      </c>
      <c r="U146">
        <v>1</v>
      </c>
      <c r="AB146">
        <v>0</v>
      </c>
      <c r="AC146">
        <v>0</v>
      </c>
      <c r="AG146">
        <v>2</v>
      </c>
      <c r="AH146">
        <v>1</v>
      </c>
      <c r="AX146">
        <v>1</v>
      </c>
    </row>
    <row r="147" spans="2:50" hidden="1">
      <c r="B147" t="s">
        <v>205</v>
      </c>
      <c r="C147">
        <v>41</v>
      </c>
      <c r="D147">
        <v>5016.5</v>
      </c>
      <c r="G147">
        <v>123</v>
      </c>
      <c r="I147">
        <v>0</v>
      </c>
      <c r="N147">
        <v>1</v>
      </c>
      <c r="AB147">
        <v>0</v>
      </c>
      <c r="AC147">
        <v>0</v>
      </c>
      <c r="AI147">
        <v>1</v>
      </c>
      <c r="AK147">
        <v>1</v>
      </c>
      <c r="AL147">
        <v>2</v>
      </c>
    </row>
    <row r="148" spans="2:50" hidden="1">
      <c r="B148">
        <v>158</v>
      </c>
      <c r="C148">
        <v>40.200000000000003</v>
      </c>
      <c r="D148">
        <v>5056.7</v>
      </c>
      <c r="G148">
        <v>120.6</v>
      </c>
      <c r="I148">
        <v>0</v>
      </c>
      <c r="U148">
        <v>1</v>
      </c>
      <c r="AB148">
        <v>0</v>
      </c>
      <c r="AC148">
        <v>0</v>
      </c>
      <c r="AG148">
        <v>2</v>
      </c>
      <c r="AH148">
        <v>1</v>
      </c>
      <c r="AX148">
        <v>1</v>
      </c>
    </row>
    <row r="149" spans="2:50" hidden="1">
      <c r="B149" t="s">
        <v>206</v>
      </c>
      <c r="C149">
        <v>39</v>
      </c>
      <c r="D149">
        <v>5095.7</v>
      </c>
      <c r="G149">
        <v>117</v>
      </c>
      <c r="I149">
        <v>0</v>
      </c>
      <c r="N149">
        <v>1</v>
      </c>
      <c r="AB149">
        <v>0</v>
      </c>
      <c r="AC149">
        <v>0</v>
      </c>
      <c r="AI149">
        <v>1</v>
      </c>
      <c r="AK149">
        <v>1</v>
      </c>
      <c r="AM149">
        <v>1</v>
      </c>
    </row>
    <row r="150" spans="2:50" hidden="1">
      <c r="B150">
        <v>159</v>
      </c>
      <c r="C150">
        <v>39.1</v>
      </c>
      <c r="D150">
        <v>5134.8</v>
      </c>
      <c r="G150">
        <v>117.3</v>
      </c>
      <c r="I150">
        <v>0</v>
      </c>
      <c r="U150">
        <v>1</v>
      </c>
      <c r="AB150">
        <v>0</v>
      </c>
      <c r="AC150">
        <v>0</v>
      </c>
      <c r="AG150">
        <v>2</v>
      </c>
      <c r="AH150">
        <v>1</v>
      </c>
      <c r="AX150">
        <v>1</v>
      </c>
    </row>
    <row r="151" spans="2:50" hidden="1">
      <c r="B151" t="s">
        <v>207</v>
      </c>
      <c r="C151">
        <v>42</v>
      </c>
      <c r="D151">
        <v>5176.8</v>
      </c>
      <c r="G151">
        <v>126</v>
      </c>
      <c r="I151">
        <v>0</v>
      </c>
      <c r="N151">
        <v>1</v>
      </c>
      <c r="AB151">
        <v>0</v>
      </c>
      <c r="AC151">
        <v>0</v>
      </c>
      <c r="AI151">
        <v>1</v>
      </c>
      <c r="AK151">
        <v>1</v>
      </c>
      <c r="AL151">
        <v>3</v>
      </c>
      <c r="AM151">
        <v>1</v>
      </c>
    </row>
    <row r="152" spans="2:50" hidden="1">
      <c r="B152">
        <v>160</v>
      </c>
      <c r="C152">
        <v>42.3</v>
      </c>
      <c r="D152">
        <v>5219.1000000000004</v>
      </c>
      <c r="G152">
        <v>126.9</v>
      </c>
      <c r="I152">
        <v>0</v>
      </c>
      <c r="U152">
        <v>1</v>
      </c>
      <c r="AB152">
        <v>0</v>
      </c>
      <c r="AC152">
        <v>0</v>
      </c>
      <c r="AG152">
        <v>2</v>
      </c>
      <c r="AH152">
        <v>1</v>
      </c>
      <c r="AX152">
        <v>1</v>
      </c>
    </row>
    <row r="153" spans="2:50" hidden="1">
      <c r="B153" t="s">
        <v>208</v>
      </c>
      <c r="C153">
        <v>38</v>
      </c>
      <c r="D153">
        <v>5257.1</v>
      </c>
      <c r="G153">
        <v>114</v>
      </c>
      <c r="I153">
        <v>0</v>
      </c>
      <c r="N153">
        <v>1</v>
      </c>
      <c r="AB153">
        <v>0</v>
      </c>
      <c r="AC153">
        <v>0</v>
      </c>
      <c r="AI153">
        <v>1</v>
      </c>
      <c r="AK153">
        <v>1</v>
      </c>
      <c r="AL153">
        <v>3</v>
      </c>
      <c r="AM153">
        <v>1</v>
      </c>
    </row>
    <row r="154" spans="2:50" hidden="1">
      <c r="B154">
        <v>161</v>
      </c>
      <c r="C154">
        <v>37.9</v>
      </c>
      <c r="D154">
        <v>5295</v>
      </c>
      <c r="G154">
        <v>113.7</v>
      </c>
      <c r="I154">
        <v>0</v>
      </c>
      <c r="J154">
        <v>2.5</v>
      </c>
      <c r="K154">
        <v>1</v>
      </c>
      <c r="R154">
        <v>1</v>
      </c>
      <c r="U154">
        <v>1</v>
      </c>
      <c r="AB154">
        <v>0</v>
      </c>
      <c r="AC154">
        <v>0</v>
      </c>
      <c r="AG154">
        <v>2</v>
      </c>
      <c r="AH154">
        <v>1</v>
      </c>
      <c r="AP154">
        <v>1</v>
      </c>
      <c r="AQ154">
        <v>1</v>
      </c>
      <c r="AT154">
        <v>1</v>
      </c>
      <c r="AV154">
        <v>2</v>
      </c>
      <c r="AX154">
        <v>1</v>
      </c>
    </row>
    <row r="155" spans="2:50" hidden="1">
      <c r="B155" t="s">
        <v>209</v>
      </c>
      <c r="C155">
        <v>30.4</v>
      </c>
      <c r="D155">
        <v>5325.4</v>
      </c>
      <c r="G155">
        <v>91.2</v>
      </c>
      <c r="I155">
        <v>5</v>
      </c>
      <c r="U155">
        <v>1</v>
      </c>
      <c r="AB155">
        <v>0</v>
      </c>
      <c r="AC155">
        <v>0</v>
      </c>
      <c r="AG155">
        <v>2</v>
      </c>
      <c r="AH155">
        <v>1</v>
      </c>
      <c r="AX155">
        <v>1</v>
      </c>
    </row>
    <row r="156" spans="2:50" hidden="1">
      <c r="B156">
        <v>162</v>
      </c>
      <c r="C156">
        <v>42.3</v>
      </c>
      <c r="D156">
        <v>5367.7</v>
      </c>
      <c r="G156">
        <v>126.9</v>
      </c>
      <c r="I156">
        <v>0</v>
      </c>
      <c r="U156">
        <v>1</v>
      </c>
      <c r="AB156">
        <v>0</v>
      </c>
      <c r="AC156">
        <v>0</v>
      </c>
      <c r="AG156">
        <v>2</v>
      </c>
      <c r="AH156">
        <v>1</v>
      </c>
      <c r="AX156">
        <v>1</v>
      </c>
    </row>
    <row r="157" spans="2:50" hidden="1">
      <c r="B157" t="s">
        <v>210</v>
      </c>
      <c r="C157">
        <v>39.1</v>
      </c>
      <c r="D157">
        <v>5406.8</v>
      </c>
      <c r="G157">
        <v>117.3</v>
      </c>
      <c r="I157">
        <v>0</v>
      </c>
      <c r="N157">
        <v>1</v>
      </c>
      <c r="AB157">
        <v>0</v>
      </c>
      <c r="AC157">
        <v>0</v>
      </c>
      <c r="AI157">
        <v>1</v>
      </c>
      <c r="AK157">
        <v>1</v>
      </c>
      <c r="AL157">
        <v>4</v>
      </c>
      <c r="AM157">
        <v>3</v>
      </c>
    </row>
    <row r="158" spans="2:50" hidden="1">
      <c r="B158">
        <v>163</v>
      </c>
      <c r="C158">
        <v>39</v>
      </c>
      <c r="D158">
        <v>5445.8</v>
      </c>
      <c r="G158">
        <v>117</v>
      </c>
      <c r="I158">
        <v>0</v>
      </c>
      <c r="U158">
        <v>1</v>
      </c>
      <c r="AB158">
        <v>0</v>
      </c>
      <c r="AC158">
        <v>0</v>
      </c>
      <c r="AG158">
        <v>2</v>
      </c>
      <c r="AH158">
        <v>1</v>
      </c>
      <c r="AX158">
        <v>1</v>
      </c>
    </row>
    <row r="159" spans="2:50" hidden="1">
      <c r="B159" t="s">
        <v>211</v>
      </c>
      <c r="C159">
        <v>40</v>
      </c>
      <c r="D159">
        <v>5485.8</v>
      </c>
      <c r="G159">
        <v>120</v>
      </c>
      <c r="I159">
        <v>0</v>
      </c>
      <c r="N159">
        <v>1</v>
      </c>
      <c r="AB159">
        <v>0</v>
      </c>
      <c r="AC159">
        <v>0</v>
      </c>
      <c r="AI159">
        <v>1</v>
      </c>
      <c r="AK159">
        <v>1</v>
      </c>
      <c r="AL159">
        <v>3</v>
      </c>
      <c r="AM159">
        <v>3</v>
      </c>
    </row>
    <row r="160" spans="2:50" hidden="1">
      <c r="B160">
        <v>164</v>
      </c>
      <c r="C160">
        <v>40.1</v>
      </c>
      <c r="D160">
        <v>5525.9</v>
      </c>
      <c r="G160">
        <v>120.3</v>
      </c>
      <c r="I160">
        <v>0</v>
      </c>
      <c r="J160">
        <v>2.5</v>
      </c>
      <c r="K160">
        <v>1</v>
      </c>
      <c r="R160">
        <v>1</v>
      </c>
      <c r="U160">
        <v>1</v>
      </c>
      <c r="AB160">
        <v>0</v>
      </c>
      <c r="AC160">
        <v>0</v>
      </c>
      <c r="AG160">
        <v>2</v>
      </c>
      <c r="AH160">
        <v>1</v>
      </c>
      <c r="AQ160">
        <v>1</v>
      </c>
      <c r="AT160">
        <v>1</v>
      </c>
      <c r="AV160">
        <v>2</v>
      </c>
      <c r="AW160">
        <v>0</v>
      </c>
      <c r="AX160">
        <v>1</v>
      </c>
    </row>
    <row r="161" spans="2:51" hidden="1">
      <c r="B161" t="s">
        <v>212</v>
      </c>
      <c r="C161">
        <v>40</v>
      </c>
      <c r="D161">
        <v>5565.9</v>
      </c>
      <c r="G161">
        <v>120</v>
      </c>
      <c r="I161">
        <v>0</v>
      </c>
      <c r="N161">
        <v>1</v>
      </c>
      <c r="AB161">
        <v>0</v>
      </c>
      <c r="AC161">
        <v>0</v>
      </c>
      <c r="AI161">
        <v>1</v>
      </c>
      <c r="AK161">
        <v>2</v>
      </c>
      <c r="AL161">
        <v>4</v>
      </c>
      <c r="AM161">
        <v>3</v>
      </c>
    </row>
    <row r="162" spans="2:51" hidden="1">
      <c r="B162">
        <v>165</v>
      </c>
      <c r="C162">
        <v>36.5</v>
      </c>
      <c r="D162">
        <v>5602.4</v>
      </c>
      <c r="G162">
        <v>109.5</v>
      </c>
      <c r="I162">
        <v>0</v>
      </c>
      <c r="U162">
        <v>1</v>
      </c>
      <c r="AB162">
        <v>0</v>
      </c>
      <c r="AC162">
        <v>0</v>
      </c>
      <c r="AG162">
        <v>2</v>
      </c>
      <c r="AH162">
        <v>1</v>
      </c>
      <c r="AM162">
        <v>3</v>
      </c>
      <c r="AX162">
        <v>1</v>
      </c>
    </row>
    <row r="163" spans="2:51" hidden="1">
      <c r="B163" t="s">
        <v>213</v>
      </c>
      <c r="C163">
        <v>36</v>
      </c>
      <c r="D163">
        <v>5638.4</v>
      </c>
      <c r="G163">
        <v>108</v>
      </c>
      <c r="I163">
        <v>0</v>
      </c>
      <c r="N163">
        <v>1</v>
      </c>
      <c r="AB163">
        <v>0</v>
      </c>
      <c r="AC163">
        <v>0</v>
      </c>
      <c r="AI163">
        <v>1</v>
      </c>
      <c r="AK163">
        <v>1</v>
      </c>
      <c r="AL163">
        <v>3</v>
      </c>
      <c r="AM163">
        <v>3</v>
      </c>
    </row>
    <row r="164" spans="2:51" hidden="1">
      <c r="B164">
        <v>166</v>
      </c>
      <c r="C164">
        <v>36.299999999999997</v>
      </c>
      <c r="D164">
        <v>5674.7</v>
      </c>
      <c r="G164">
        <v>108.9</v>
      </c>
      <c r="I164">
        <v>0</v>
      </c>
      <c r="U164">
        <v>1</v>
      </c>
      <c r="AB164">
        <v>0</v>
      </c>
      <c r="AC164">
        <v>0</v>
      </c>
      <c r="AG164">
        <v>2</v>
      </c>
      <c r="AH164">
        <v>1</v>
      </c>
      <c r="AM164">
        <v>2</v>
      </c>
      <c r="AX164">
        <v>1</v>
      </c>
    </row>
    <row r="165" spans="2:51" hidden="1">
      <c r="B165" t="s">
        <v>214</v>
      </c>
      <c r="C165">
        <v>38.700000000000003</v>
      </c>
      <c r="D165">
        <v>5713.4</v>
      </c>
      <c r="G165">
        <v>116.1</v>
      </c>
      <c r="I165">
        <v>5</v>
      </c>
      <c r="U165">
        <v>1</v>
      </c>
      <c r="AB165">
        <v>0</v>
      </c>
      <c r="AC165">
        <v>0</v>
      </c>
      <c r="AG165">
        <v>2</v>
      </c>
      <c r="AH165">
        <v>1</v>
      </c>
      <c r="AM165">
        <v>2</v>
      </c>
      <c r="AX165">
        <v>1</v>
      </c>
    </row>
    <row r="166" spans="2:51" hidden="1">
      <c r="B166">
        <v>167</v>
      </c>
      <c r="C166">
        <v>34.799999999999997</v>
      </c>
      <c r="D166">
        <v>5748.2</v>
      </c>
      <c r="G166">
        <v>104.4</v>
      </c>
      <c r="I166">
        <v>0</v>
      </c>
      <c r="V166">
        <v>1</v>
      </c>
      <c r="AB166">
        <v>1</v>
      </c>
      <c r="AC166">
        <v>0</v>
      </c>
      <c r="AG166">
        <v>4</v>
      </c>
      <c r="AH166">
        <v>2</v>
      </c>
      <c r="AM166">
        <v>1</v>
      </c>
      <c r="AX166">
        <v>1</v>
      </c>
    </row>
    <row r="167" spans="2:51" hidden="1">
      <c r="B167" t="s">
        <v>215</v>
      </c>
      <c r="C167">
        <v>38</v>
      </c>
      <c r="D167">
        <v>5786.2</v>
      </c>
      <c r="G167">
        <v>114</v>
      </c>
      <c r="I167">
        <v>0</v>
      </c>
      <c r="N167">
        <v>1</v>
      </c>
      <c r="AB167">
        <v>0</v>
      </c>
      <c r="AC167">
        <v>0</v>
      </c>
      <c r="AI167">
        <v>2</v>
      </c>
      <c r="AK167">
        <v>1</v>
      </c>
      <c r="AL167">
        <v>2</v>
      </c>
      <c r="AM167">
        <v>2</v>
      </c>
    </row>
    <row r="168" spans="2:51" hidden="1">
      <c r="B168">
        <v>168</v>
      </c>
      <c r="C168">
        <v>37.9</v>
      </c>
      <c r="D168">
        <v>5824.1</v>
      </c>
      <c r="G168">
        <v>113.7</v>
      </c>
      <c r="I168">
        <v>0</v>
      </c>
      <c r="U168">
        <v>1</v>
      </c>
      <c r="AB168">
        <v>0</v>
      </c>
      <c r="AC168">
        <v>0</v>
      </c>
      <c r="AG168">
        <v>2</v>
      </c>
      <c r="AH168">
        <v>1</v>
      </c>
      <c r="AM168">
        <v>3</v>
      </c>
      <c r="AX168">
        <v>1</v>
      </c>
    </row>
    <row r="169" spans="2:51" hidden="1">
      <c r="B169" t="s">
        <v>216</v>
      </c>
      <c r="C169">
        <v>35</v>
      </c>
      <c r="D169">
        <v>5859.1</v>
      </c>
      <c r="G169">
        <v>105</v>
      </c>
      <c r="I169">
        <v>0</v>
      </c>
      <c r="N169">
        <v>1</v>
      </c>
      <c r="AB169">
        <v>0</v>
      </c>
      <c r="AC169">
        <v>0</v>
      </c>
      <c r="AI169">
        <v>1</v>
      </c>
      <c r="AK169">
        <v>1</v>
      </c>
      <c r="AL169">
        <v>3</v>
      </c>
      <c r="AM169">
        <v>3</v>
      </c>
    </row>
    <row r="170" spans="2:51" hidden="1">
      <c r="B170">
        <v>169</v>
      </c>
      <c r="C170">
        <v>34.1</v>
      </c>
      <c r="D170">
        <v>5893.2</v>
      </c>
      <c r="G170">
        <v>102.3</v>
      </c>
      <c r="I170">
        <v>0</v>
      </c>
      <c r="J170">
        <v>2.5</v>
      </c>
      <c r="K170">
        <v>1</v>
      </c>
      <c r="R170">
        <v>1</v>
      </c>
      <c r="U170">
        <v>1</v>
      </c>
      <c r="AB170">
        <v>0</v>
      </c>
      <c r="AC170">
        <v>0</v>
      </c>
      <c r="AG170">
        <v>2</v>
      </c>
      <c r="AH170">
        <v>1</v>
      </c>
      <c r="AL170">
        <v>3</v>
      </c>
      <c r="AM170">
        <v>3</v>
      </c>
      <c r="AP170">
        <v>1</v>
      </c>
      <c r="AQ170">
        <v>1</v>
      </c>
      <c r="AT170">
        <v>1</v>
      </c>
      <c r="AW170">
        <v>1</v>
      </c>
      <c r="AX170">
        <v>1</v>
      </c>
    </row>
    <row r="171" spans="2:51" hidden="1">
      <c r="B171" t="s">
        <v>217</v>
      </c>
      <c r="C171">
        <v>36</v>
      </c>
      <c r="D171">
        <v>5929.2</v>
      </c>
      <c r="G171">
        <v>108</v>
      </c>
      <c r="I171">
        <v>0</v>
      </c>
      <c r="N171">
        <v>1</v>
      </c>
      <c r="AB171">
        <v>0</v>
      </c>
      <c r="AC171">
        <v>0</v>
      </c>
      <c r="AI171">
        <v>1</v>
      </c>
    </row>
    <row r="172" spans="2:51" hidden="1">
      <c r="B172">
        <v>170</v>
      </c>
      <c r="C172">
        <v>36</v>
      </c>
      <c r="D172">
        <v>5965.2</v>
      </c>
      <c r="G172">
        <v>108</v>
      </c>
      <c r="I172">
        <v>0</v>
      </c>
      <c r="U172">
        <v>1</v>
      </c>
      <c r="AB172">
        <v>0</v>
      </c>
      <c r="AC172">
        <v>0</v>
      </c>
      <c r="AG172">
        <v>2</v>
      </c>
      <c r="AH172">
        <v>1</v>
      </c>
      <c r="AX172">
        <v>1</v>
      </c>
    </row>
    <row r="173" spans="2:51" hidden="1">
      <c r="B173" t="s">
        <v>218</v>
      </c>
      <c r="C173">
        <v>37</v>
      </c>
      <c r="D173">
        <v>6002.2</v>
      </c>
      <c r="G173">
        <v>111</v>
      </c>
      <c r="I173">
        <v>0</v>
      </c>
      <c r="N173">
        <v>1</v>
      </c>
      <c r="AB173">
        <v>0</v>
      </c>
      <c r="AC173">
        <v>0</v>
      </c>
      <c r="AI173">
        <v>1</v>
      </c>
      <c r="AK173">
        <v>1</v>
      </c>
      <c r="AL173">
        <v>2</v>
      </c>
      <c r="AM173">
        <v>3</v>
      </c>
    </row>
    <row r="174" spans="2:51">
      <c r="B174">
        <v>171</v>
      </c>
      <c r="C174">
        <v>38</v>
      </c>
      <c r="D174">
        <v>6040.2</v>
      </c>
      <c r="G174">
        <v>114</v>
      </c>
      <c r="I174">
        <v>0</v>
      </c>
      <c r="K174">
        <v>1</v>
      </c>
      <c r="Y174">
        <v>1</v>
      </c>
      <c r="AB174">
        <v>0</v>
      </c>
      <c r="AC174">
        <v>2</v>
      </c>
      <c r="AD174">
        <v>6</v>
      </c>
      <c r="AG174">
        <v>0</v>
      </c>
      <c r="AH174">
        <v>1</v>
      </c>
      <c r="AI174">
        <v>1</v>
      </c>
      <c r="AM174">
        <v>2</v>
      </c>
      <c r="AY174">
        <v>2</v>
      </c>
    </row>
    <row r="175" spans="2:51" hidden="1">
      <c r="B175" t="s">
        <v>219</v>
      </c>
      <c r="C175">
        <v>46</v>
      </c>
      <c r="D175">
        <v>6086.2</v>
      </c>
      <c r="G175">
        <v>138</v>
      </c>
      <c r="I175">
        <v>0</v>
      </c>
      <c r="N175">
        <v>1</v>
      </c>
      <c r="AB175">
        <v>0</v>
      </c>
      <c r="AC175">
        <v>0</v>
      </c>
      <c r="AM175">
        <v>2</v>
      </c>
    </row>
    <row r="176" spans="2:51" hidden="1">
      <c r="B176">
        <v>172</v>
      </c>
      <c r="C176">
        <v>47</v>
      </c>
      <c r="D176">
        <v>6133.2</v>
      </c>
      <c r="G176">
        <v>141</v>
      </c>
      <c r="I176">
        <v>0</v>
      </c>
      <c r="K176">
        <v>1</v>
      </c>
      <c r="V176">
        <v>1</v>
      </c>
      <c r="AB176">
        <v>0</v>
      </c>
      <c r="AC176">
        <v>0</v>
      </c>
      <c r="AG176">
        <v>4</v>
      </c>
      <c r="AH176">
        <v>2</v>
      </c>
      <c r="AX176">
        <v>1</v>
      </c>
    </row>
    <row r="177" spans="1:51" hidden="1">
      <c r="B177" t="s">
        <v>220</v>
      </c>
      <c r="C177">
        <v>45</v>
      </c>
      <c r="D177">
        <v>6178.2</v>
      </c>
      <c r="G177">
        <v>135</v>
      </c>
      <c r="I177">
        <v>0</v>
      </c>
      <c r="N177">
        <v>1</v>
      </c>
      <c r="AB177">
        <v>0</v>
      </c>
      <c r="AC177">
        <v>0</v>
      </c>
      <c r="AI177">
        <v>2</v>
      </c>
      <c r="AK177">
        <v>1</v>
      </c>
      <c r="AM177">
        <v>3</v>
      </c>
    </row>
    <row r="178" spans="1:51">
      <c r="B178">
        <v>173</v>
      </c>
      <c r="C178">
        <v>45.1</v>
      </c>
      <c r="D178">
        <v>6223.3</v>
      </c>
      <c r="G178">
        <v>135.30000000000001</v>
      </c>
      <c r="I178">
        <v>0</v>
      </c>
      <c r="U178">
        <v>0</v>
      </c>
      <c r="Y178">
        <v>1</v>
      </c>
      <c r="AB178">
        <v>0</v>
      </c>
      <c r="AC178">
        <v>0</v>
      </c>
      <c r="AG178">
        <v>2</v>
      </c>
      <c r="AH178">
        <v>1</v>
      </c>
      <c r="AX178">
        <v>1</v>
      </c>
    </row>
    <row r="179" spans="1:51" hidden="1">
      <c r="B179" t="s">
        <v>221</v>
      </c>
      <c r="C179">
        <v>48</v>
      </c>
      <c r="D179">
        <v>6271.3</v>
      </c>
      <c r="G179">
        <v>144</v>
      </c>
      <c r="I179">
        <v>0</v>
      </c>
      <c r="N179">
        <v>1</v>
      </c>
      <c r="AB179">
        <v>0</v>
      </c>
      <c r="AC179">
        <v>0</v>
      </c>
      <c r="AI179">
        <v>1</v>
      </c>
      <c r="AK179">
        <v>1</v>
      </c>
      <c r="AL179">
        <v>3</v>
      </c>
      <c r="AM179">
        <v>3</v>
      </c>
    </row>
    <row r="180" spans="1:51" hidden="1">
      <c r="B180">
        <v>174</v>
      </c>
      <c r="C180">
        <v>46.7</v>
      </c>
      <c r="D180">
        <v>6318</v>
      </c>
      <c r="G180">
        <v>140.1</v>
      </c>
      <c r="I180">
        <v>0</v>
      </c>
      <c r="AB180">
        <v>0</v>
      </c>
      <c r="AC180">
        <v>0</v>
      </c>
      <c r="AX180">
        <v>0</v>
      </c>
    </row>
    <row r="181" spans="1:51" hidden="1">
      <c r="B181" t="s">
        <v>222</v>
      </c>
      <c r="C181">
        <v>20</v>
      </c>
      <c r="D181">
        <v>6338</v>
      </c>
      <c r="G181">
        <v>60</v>
      </c>
      <c r="I181">
        <v>0</v>
      </c>
    </row>
    <row r="182" spans="1:51" hidden="1"/>
    <row r="183" spans="1:51" ht="31.8" customHeight="1">
      <c r="A183" t="s">
        <v>26</v>
      </c>
      <c r="B183" t="s">
        <v>274</v>
      </c>
      <c r="C183">
        <v>6338</v>
      </c>
      <c r="D183">
        <v>6338</v>
      </c>
      <c r="E183">
        <v>0</v>
      </c>
      <c r="F183">
        <v>0</v>
      </c>
      <c r="G183">
        <v>19014</v>
      </c>
      <c r="H183">
        <v>3146.9</v>
      </c>
      <c r="I183">
        <v>102</v>
      </c>
      <c r="J183">
        <v>22</v>
      </c>
      <c r="K183">
        <v>20</v>
      </c>
      <c r="L183">
        <v>0</v>
      </c>
      <c r="M183">
        <v>1</v>
      </c>
      <c r="N183">
        <v>77</v>
      </c>
      <c r="O183">
        <v>0</v>
      </c>
      <c r="P183">
        <v>0</v>
      </c>
      <c r="Q183">
        <v>0</v>
      </c>
      <c r="R183">
        <v>10</v>
      </c>
      <c r="S183">
        <v>0</v>
      </c>
      <c r="T183">
        <v>0</v>
      </c>
      <c r="U183">
        <v>74</v>
      </c>
      <c r="V183">
        <v>9</v>
      </c>
      <c r="W183">
        <v>0</v>
      </c>
      <c r="X183">
        <v>1</v>
      </c>
      <c r="Y183">
        <v>4</v>
      </c>
      <c r="Z183">
        <v>0</v>
      </c>
      <c r="AA183">
        <v>0</v>
      </c>
      <c r="AB183">
        <v>3</v>
      </c>
      <c r="AC183">
        <v>9</v>
      </c>
      <c r="AD183">
        <v>30</v>
      </c>
      <c r="AE183">
        <v>3</v>
      </c>
      <c r="AF183">
        <v>6</v>
      </c>
      <c r="AG183">
        <v>193</v>
      </c>
      <c r="AH183">
        <v>95</v>
      </c>
      <c r="AI183">
        <v>36</v>
      </c>
      <c r="AJ183">
        <v>9</v>
      </c>
      <c r="AK183">
        <v>81</v>
      </c>
      <c r="AL183">
        <v>265</v>
      </c>
      <c r="AM183">
        <v>48</v>
      </c>
      <c r="AN183">
        <v>5</v>
      </c>
      <c r="AO183">
        <v>40</v>
      </c>
      <c r="AP183">
        <v>8</v>
      </c>
      <c r="AQ183">
        <v>13</v>
      </c>
      <c r="AR183">
        <v>0</v>
      </c>
      <c r="AS183">
        <v>3</v>
      </c>
      <c r="AT183">
        <v>10</v>
      </c>
      <c r="AU183">
        <v>0</v>
      </c>
      <c r="AV183">
        <v>8</v>
      </c>
      <c r="AW183">
        <v>9</v>
      </c>
      <c r="AX183">
        <v>86</v>
      </c>
      <c r="AY183">
        <v>5</v>
      </c>
    </row>
    <row r="184" spans="1:51">
      <c r="C184">
        <f>SUM(C6:C181)</f>
        <v>6338.0000000000018</v>
      </c>
      <c r="D184">
        <f t="shared" ref="D184:AY184" si="1">SUM(D6:D181)</f>
        <v>554664.90000000026</v>
      </c>
      <c r="E184">
        <f t="shared" si="1"/>
        <v>0</v>
      </c>
      <c r="F184">
        <f t="shared" si="1"/>
        <v>0</v>
      </c>
      <c r="G184">
        <f t="shared" si="1"/>
        <v>19014</v>
      </c>
      <c r="H184">
        <f t="shared" si="1"/>
        <v>3146.8999999999996</v>
      </c>
      <c r="I184">
        <f t="shared" si="1"/>
        <v>102</v>
      </c>
      <c r="J184">
        <f t="shared" si="1"/>
        <v>22</v>
      </c>
      <c r="K184">
        <f t="shared" si="1"/>
        <v>20</v>
      </c>
      <c r="L184">
        <f t="shared" si="1"/>
        <v>0</v>
      </c>
      <c r="M184">
        <f t="shared" si="1"/>
        <v>1</v>
      </c>
      <c r="N184">
        <f t="shared" si="1"/>
        <v>77</v>
      </c>
      <c r="O184">
        <f t="shared" si="1"/>
        <v>0</v>
      </c>
      <c r="P184">
        <f t="shared" si="1"/>
        <v>0</v>
      </c>
      <c r="Q184">
        <f t="shared" si="1"/>
        <v>0</v>
      </c>
      <c r="R184">
        <f t="shared" si="1"/>
        <v>10</v>
      </c>
      <c r="S184">
        <f t="shared" si="1"/>
        <v>0</v>
      </c>
      <c r="T184">
        <f t="shared" si="1"/>
        <v>0</v>
      </c>
      <c r="U184">
        <f t="shared" si="1"/>
        <v>74</v>
      </c>
      <c r="V184">
        <f t="shared" si="1"/>
        <v>9</v>
      </c>
      <c r="W184">
        <f t="shared" si="1"/>
        <v>0</v>
      </c>
      <c r="X184">
        <f t="shared" si="1"/>
        <v>1</v>
      </c>
      <c r="Y184">
        <f t="shared" si="1"/>
        <v>5</v>
      </c>
      <c r="Z184">
        <f t="shared" si="1"/>
        <v>0</v>
      </c>
      <c r="AA184">
        <f t="shared" si="1"/>
        <v>0</v>
      </c>
      <c r="AB184">
        <f t="shared" si="1"/>
        <v>3</v>
      </c>
      <c r="AC184">
        <f t="shared" si="1"/>
        <v>9</v>
      </c>
      <c r="AD184">
        <f t="shared" si="1"/>
        <v>30</v>
      </c>
      <c r="AE184">
        <f t="shared" si="1"/>
        <v>3</v>
      </c>
      <c r="AF184">
        <f t="shared" si="1"/>
        <v>6</v>
      </c>
      <c r="AG184">
        <f t="shared" si="1"/>
        <v>193</v>
      </c>
      <c r="AH184">
        <f t="shared" si="1"/>
        <v>95</v>
      </c>
      <c r="AI184">
        <f t="shared" si="1"/>
        <v>36</v>
      </c>
      <c r="AJ184">
        <f t="shared" si="1"/>
        <v>9</v>
      </c>
      <c r="AK184">
        <f t="shared" si="1"/>
        <v>81</v>
      </c>
      <c r="AL184">
        <f t="shared" si="1"/>
        <v>265</v>
      </c>
      <c r="AM184">
        <f t="shared" si="1"/>
        <v>48</v>
      </c>
      <c r="AN184">
        <f t="shared" si="1"/>
        <v>5</v>
      </c>
      <c r="AO184">
        <f t="shared" si="1"/>
        <v>40</v>
      </c>
      <c r="AP184">
        <f t="shared" si="1"/>
        <v>8</v>
      </c>
      <c r="AQ184">
        <f t="shared" si="1"/>
        <v>13</v>
      </c>
      <c r="AR184">
        <f t="shared" si="1"/>
        <v>0</v>
      </c>
      <c r="AS184">
        <f t="shared" si="1"/>
        <v>3</v>
      </c>
      <c r="AT184">
        <f t="shared" si="1"/>
        <v>10</v>
      </c>
      <c r="AU184">
        <f t="shared" si="1"/>
        <v>0</v>
      </c>
      <c r="AV184">
        <f t="shared" si="1"/>
        <v>8</v>
      </c>
      <c r="AW184">
        <f t="shared" si="1"/>
        <v>9</v>
      </c>
      <c r="AX184">
        <f t="shared" si="1"/>
        <v>86</v>
      </c>
      <c r="AY184">
        <f t="shared" si="1"/>
        <v>5</v>
      </c>
    </row>
  </sheetData>
  <autoFilter ref="A5:AY183">
    <filterColumn colId="24">
      <customFilters>
        <customFilter operator="notEqual" val=" "/>
      </customFilters>
    </filterColumn>
  </autoFilter>
  <conditionalFormatting sqref="A183:XFD183">
    <cfRule type="cellIs" dxfId="10" priority="2" operator="equal">
      <formula>0</formula>
    </cfRule>
  </conditionalFormatting>
  <conditionalFormatting sqref="AF5">
    <cfRule type="duplicateValues" dxfId="9"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7"/>
  <sheetViews>
    <sheetView topLeftCell="A61" zoomScaleNormal="100" zoomScaleSheetLayoutView="100" workbookViewId="0">
      <selection activeCell="G69" sqref="G69"/>
    </sheetView>
  </sheetViews>
  <sheetFormatPr defaultColWidth="9" defaultRowHeight="20.100000000000001" customHeight="1" outlineLevelRow="1"/>
  <cols>
    <col min="1" max="1" width="17.453125" customWidth="1"/>
    <col min="2" max="2" width="6.08984375" customWidth="1"/>
    <col min="3" max="3" width="26.1796875" customWidth="1"/>
    <col min="4" max="4" width="9.36328125" customWidth="1"/>
    <col min="5" max="6" width="8.90625" customWidth="1"/>
    <col min="7" max="7" width="17.81640625" customWidth="1"/>
    <col min="8" max="8" width="8.453125" customWidth="1"/>
    <col min="9" max="9" width="8.90625" customWidth="1"/>
    <col min="10" max="10" width="33.90625" customWidth="1"/>
    <col min="11" max="257" width="8.90625" customWidth="1"/>
  </cols>
  <sheetData>
    <row r="1" spans="2:9" ht="20.100000000000001" customHeight="1" outlineLevel="1"/>
    <row r="2" spans="2:9" ht="20.100000000000001" customHeight="1" outlineLevel="1"/>
    <row r="3" spans="2:9" ht="20.100000000000001" customHeight="1" outlineLevel="1"/>
    <row r="4" spans="2:9" ht="26.25" customHeight="1" outlineLevel="1"/>
    <row r="5" spans="2:9" ht="20.100000000000001" customHeight="1" outlineLevel="1">
      <c r="B5" s="241" t="s">
        <v>6</v>
      </c>
      <c r="C5" s="241"/>
      <c r="D5" s="241"/>
      <c r="E5" s="241"/>
      <c r="F5" s="241"/>
      <c r="G5" s="241"/>
      <c r="H5" s="241"/>
      <c r="I5" s="241"/>
    </row>
    <row r="6" spans="2:9" ht="20.100000000000001" customHeight="1" outlineLevel="1">
      <c r="B6" s="241" t="s">
        <v>7</v>
      </c>
      <c r="C6" s="241"/>
      <c r="D6" s="241"/>
      <c r="E6" s="241"/>
      <c r="F6" s="241"/>
      <c r="G6" s="241"/>
      <c r="H6" s="241"/>
      <c r="I6" s="241"/>
    </row>
    <row r="7" spans="2:9" s="18" customFormat="1" ht="37.5" customHeight="1" outlineLevel="1">
      <c r="B7" s="247" t="str">
        <f>"         Công Trình: "&amp;INFO!B2&amp;"."</f>
        <v xml:space="preserve">         Công Trình: CÔNG TY TNHH
THU LỘC.</v>
      </c>
      <c r="C7" s="247"/>
      <c r="D7" s="247"/>
      <c r="E7" s="247"/>
      <c r="F7" s="247"/>
      <c r="G7" s="247"/>
      <c r="H7" s="247"/>
      <c r="I7" s="247"/>
    </row>
    <row r="8" spans="2:9" s="18" customFormat="1" ht="24" customHeight="1" outlineLevel="1">
      <c r="B8" s="19" t="str">
        <f>"        Nguồn vốn:  Vốn vay thương mại và khấu hao cơ bản"</f>
        <v xml:space="preserve">        Nguồn vốn:  Vốn vay thương mại và khấu hao cơ bản</v>
      </c>
    </row>
    <row r="9" spans="2:9" s="18" customFormat="1" ht="24" customHeight="1" outlineLevel="1">
      <c r="B9" s="20" t="s">
        <v>9</v>
      </c>
    </row>
    <row r="10" spans="2:9" ht="16.8" outlineLevel="1">
      <c r="B10" s="1" t="s">
        <v>109</v>
      </c>
    </row>
    <row r="11" spans="2:9" ht="24" customHeight="1" outlineLevel="1">
      <c r="B11" t="s">
        <v>10</v>
      </c>
      <c r="C11" t="s">
        <v>110</v>
      </c>
      <c r="D11" t="s">
        <v>111</v>
      </c>
      <c r="E11" t="s">
        <v>112</v>
      </c>
    </row>
    <row r="12" spans="2:9" ht="24" customHeight="1" outlineLevel="1">
      <c r="B12" t="s">
        <v>10</v>
      </c>
      <c r="C12" t="s">
        <v>2</v>
      </c>
      <c r="D12" t="s">
        <v>111</v>
      </c>
      <c r="E12" t="s">
        <v>105</v>
      </c>
    </row>
    <row r="13" spans="2:9" ht="24" customHeight="1" outlineLevel="1">
      <c r="B13" t="s">
        <v>10</v>
      </c>
      <c r="C13" t="s">
        <v>4</v>
      </c>
      <c r="D13" t="s">
        <v>111</v>
      </c>
      <c r="E13" t="s">
        <v>106</v>
      </c>
    </row>
    <row r="14" spans="2:9" ht="24" customHeight="1" outlineLevel="1">
      <c r="B14" t="s">
        <v>10</v>
      </c>
      <c r="C14" t="s">
        <v>113</v>
      </c>
      <c r="D14" t="s">
        <v>111</v>
      </c>
      <c r="E14" t="s">
        <v>114</v>
      </c>
    </row>
    <row r="15" spans="2:9" ht="24" customHeight="1" outlineLevel="1">
      <c r="B15" t="s">
        <v>423</v>
      </c>
      <c r="C15" t="s">
        <v>115</v>
      </c>
      <c r="D15" t="s">
        <v>111</v>
      </c>
      <c r="E15" t="s">
        <v>116</v>
      </c>
    </row>
    <row r="16" spans="2:9" ht="24" customHeight="1" outlineLevel="1">
      <c r="B16" t="s">
        <v>10</v>
      </c>
      <c r="C16" t="s">
        <v>5</v>
      </c>
      <c r="D16" t="s">
        <v>111</v>
      </c>
      <c r="E16" t="s">
        <v>107</v>
      </c>
    </row>
    <row r="17" spans="1:10" ht="24" customHeight="1" outlineLevel="1">
      <c r="B17" t="s">
        <v>10</v>
      </c>
      <c r="C17" t="s">
        <v>117</v>
      </c>
      <c r="D17" t="s">
        <v>111</v>
      </c>
      <c r="E17" t="s">
        <v>118</v>
      </c>
    </row>
    <row r="18" spans="1:10" ht="24" customHeight="1" outlineLevel="1">
      <c r="B18" t="s">
        <v>10</v>
      </c>
      <c r="C18" t="s">
        <v>119</v>
      </c>
      <c r="D18" t="s">
        <v>111</v>
      </c>
      <c r="E18" t="s">
        <v>108</v>
      </c>
    </row>
    <row r="19" spans="1:10" ht="24" customHeight="1" outlineLevel="1">
      <c r="B19" t="s">
        <v>10</v>
      </c>
      <c r="C19" t="s">
        <v>120</v>
      </c>
      <c r="D19" t="s">
        <v>111</v>
      </c>
      <c r="E19" t="s">
        <v>108</v>
      </c>
    </row>
    <row r="20" spans="1:10" ht="24" customHeight="1" outlineLevel="1">
      <c r="B20" t="s">
        <v>10</v>
      </c>
      <c r="C20" t="s">
        <v>121</v>
      </c>
      <c r="D20" t="s">
        <v>111</v>
      </c>
      <c r="E20" t="s">
        <v>108</v>
      </c>
    </row>
    <row r="21" spans="1:10" ht="24" customHeight="1" outlineLevel="1">
      <c r="B21" s="1" t="s">
        <v>122</v>
      </c>
    </row>
    <row r="22" spans="1:10" ht="24" customHeight="1" outlineLevel="1">
      <c r="B22" t="s">
        <v>423</v>
      </c>
      <c r="C22" t="s">
        <v>123</v>
      </c>
      <c r="D22" t="s">
        <v>111</v>
      </c>
      <c r="E22" t="s">
        <v>124</v>
      </c>
    </row>
    <row r="23" spans="1:10" ht="24" customHeight="1" outlineLevel="1">
      <c r="B23" t="s">
        <v>10</v>
      </c>
      <c r="C23" t="s">
        <v>125</v>
      </c>
      <c r="D23" t="s">
        <v>111</v>
      </c>
      <c r="E23" t="s">
        <v>126</v>
      </c>
    </row>
    <row r="24" spans="1:10" ht="24" customHeight="1" outlineLevel="1">
      <c r="B24" t="s">
        <v>10</v>
      </c>
      <c r="C24" t="s">
        <v>127</v>
      </c>
      <c r="D24" t="s">
        <v>111</v>
      </c>
      <c r="E24" t="s">
        <v>128</v>
      </c>
    </row>
    <row r="25" spans="1:10" ht="24" customHeight="1" outlineLevel="1">
      <c r="B25" s="1" t="s">
        <v>3897</v>
      </c>
    </row>
    <row r="26" spans="1:10" ht="24" customHeight="1" outlineLevel="1">
      <c r="B26" t="s">
        <v>10</v>
      </c>
      <c r="C26" t="s">
        <v>129</v>
      </c>
      <c r="D26" t="s">
        <v>111</v>
      </c>
      <c r="E26" t="s">
        <v>130</v>
      </c>
    </row>
    <row r="27" spans="1:10" ht="24" customHeight="1" outlineLevel="1">
      <c r="B27" t="s">
        <v>10</v>
      </c>
      <c r="C27" t="s">
        <v>131</v>
      </c>
      <c r="D27" t="s">
        <v>111</v>
      </c>
      <c r="E27" t="s">
        <v>132</v>
      </c>
    </row>
    <row r="28" spans="1:10" ht="36.75" customHeight="1" outlineLevel="1">
      <c r="B28" s="243" t="s">
        <v>22</v>
      </c>
      <c r="C28" s="244"/>
      <c r="D28" s="244"/>
      <c r="E28" s="244"/>
      <c r="F28" s="244"/>
      <c r="G28" s="244"/>
    </row>
    <row r="29" spans="1:10" s="239" customFormat="1" ht="23.4" customHeight="1">
      <c r="B29" s="236" t="s">
        <v>0</v>
      </c>
      <c r="C29" s="237" t="s">
        <v>275</v>
      </c>
      <c r="D29" s="237" t="s">
        <v>45</v>
      </c>
      <c r="E29" s="245" t="s">
        <v>24</v>
      </c>
      <c r="F29" s="246"/>
      <c r="G29" s="237" t="s">
        <v>25</v>
      </c>
      <c r="H29" s="238" t="s">
        <v>276</v>
      </c>
      <c r="I29" s="238" t="s">
        <v>294</v>
      </c>
      <c r="J29" s="239" t="s">
        <v>28</v>
      </c>
    </row>
    <row r="30" spans="1:10" s="175" customFormat="1" ht="23.4" customHeight="1">
      <c r="B30" s="176"/>
      <c r="C30" s="177"/>
      <c r="D30" s="177"/>
      <c r="E30" s="178" t="s">
        <v>26</v>
      </c>
      <c r="F30" s="178" t="s">
        <v>27</v>
      </c>
      <c r="G30" s="177"/>
      <c r="H30" s="179"/>
      <c r="I30" s="179"/>
    </row>
    <row r="31" spans="1:10" s="175" customFormat="1" ht="16.8">
      <c r="A31" s="175" t="s">
        <v>3972</v>
      </c>
      <c r="B31" s="180" t="s">
        <v>371</v>
      </c>
      <c r="C31" s="181" t="s">
        <v>277</v>
      </c>
      <c r="D31" s="182" t="s">
        <v>278</v>
      </c>
      <c r="E31" s="183">
        <v>282</v>
      </c>
      <c r="F31" s="184">
        <v>288</v>
      </c>
      <c r="G31" s="185" t="s">
        <v>279</v>
      </c>
      <c r="H31" s="186">
        <f t="shared" ref="H31:H62" si="0">IF(F31&gt;E31,F31-E31,"")</f>
        <v>6</v>
      </c>
      <c r="I31" s="187" t="str">
        <f>IF(E31&gt;F31,E31-F31,"")</f>
        <v/>
      </c>
    </row>
    <row r="32" spans="1:10" s="175" customFormat="1" ht="16.8">
      <c r="A32" s="175" t="s">
        <v>706</v>
      </c>
      <c r="B32" s="180" t="s">
        <v>372</v>
      </c>
      <c r="C32" s="181" t="s">
        <v>280</v>
      </c>
      <c r="D32" s="182" t="s">
        <v>281</v>
      </c>
      <c r="E32" s="183">
        <v>92</v>
      </c>
      <c r="F32" s="184">
        <v>95</v>
      </c>
      <c r="G32" s="185" t="s">
        <v>279</v>
      </c>
      <c r="H32" s="186">
        <f t="shared" si="0"/>
        <v>3</v>
      </c>
      <c r="I32" s="187" t="str">
        <f>IF(E32&gt;F32,E32-F32,"")</f>
        <v/>
      </c>
    </row>
    <row r="33" spans="1:15" s="175" customFormat="1" ht="39.6">
      <c r="A33" s="175" t="s">
        <v>3941</v>
      </c>
      <c r="B33" s="180" t="s">
        <v>295</v>
      </c>
      <c r="C33" s="181" t="s">
        <v>282</v>
      </c>
      <c r="D33" s="182" t="s">
        <v>281</v>
      </c>
      <c r="E33" s="183">
        <v>168</v>
      </c>
      <c r="F33" s="184">
        <v>172</v>
      </c>
      <c r="G33" s="188" t="s">
        <v>422</v>
      </c>
      <c r="H33" s="186">
        <f t="shared" si="0"/>
        <v>4</v>
      </c>
      <c r="I33" s="187"/>
    </row>
    <row r="34" spans="1:15" s="175" customFormat="1" ht="16.8">
      <c r="A34" s="175" t="s">
        <v>3942</v>
      </c>
      <c r="B34" s="180" t="s">
        <v>296</v>
      </c>
      <c r="C34" s="181" t="s">
        <v>283</v>
      </c>
      <c r="D34" s="182" t="s">
        <v>281</v>
      </c>
      <c r="E34" s="183">
        <v>190</v>
      </c>
      <c r="F34" s="184">
        <v>193</v>
      </c>
      <c r="G34" s="185" t="s">
        <v>279</v>
      </c>
      <c r="H34" s="186">
        <f t="shared" si="0"/>
        <v>3</v>
      </c>
      <c r="I34" s="187" t="str">
        <f t="shared" ref="I34:I65" si="1">IF(E34&gt;F34,E34-F34,"")</f>
        <v/>
      </c>
    </row>
    <row r="35" spans="1:15" s="175" customFormat="1" ht="16.8">
      <c r="A35" s="175" t="s">
        <v>949</v>
      </c>
      <c r="B35" s="189" t="s">
        <v>295</v>
      </c>
      <c r="C35" s="190" t="s">
        <v>284</v>
      </c>
      <c r="D35" s="191" t="s">
        <v>285</v>
      </c>
      <c r="E35" s="192">
        <v>87</v>
      </c>
      <c r="F35" s="193">
        <v>86</v>
      </c>
      <c r="G35" s="194" t="s">
        <v>286</v>
      </c>
      <c r="H35" s="186" t="str">
        <f t="shared" si="0"/>
        <v/>
      </c>
      <c r="I35" s="195">
        <f t="shared" si="1"/>
        <v>1</v>
      </c>
    </row>
    <row r="36" spans="1:15" s="175" customFormat="1" ht="25.2">
      <c r="A36" s="175" t="s">
        <v>1246</v>
      </c>
      <c r="B36" s="180" t="s">
        <v>297</v>
      </c>
      <c r="C36" s="196" t="s">
        <v>287</v>
      </c>
      <c r="D36" s="197" t="s">
        <v>288</v>
      </c>
      <c r="E36" s="183">
        <v>87</v>
      </c>
      <c r="F36" s="184">
        <v>86</v>
      </c>
      <c r="G36" s="198" t="s">
        <v>298</v>
      </c>
      <c r="H36" s="186" t="str">
        <f t="shared" si="0"/>
        <v/>
      </c>
      <c r="I36" s="187">
        <f t="shared" si="1"/>
        <v>1</v>
      </c>
    </row>
    <row r="37" spans="1:15" s="175" customFormat="1" ht="25.2">
      <c r="A37" s="175" t="s">
        <v>1248</v>
      </c>
      <c r="B37" s="180" t="s">
        <v>299</v>
      </c>
      <c r="C37" s="199" t="s">
        <v>373</v>
      </c>
      <c r="D37" s="197" t="s">
        <v>288</v>
      </c>
      <c r="E37" s="183">
        <v>87</v>
      </c>
      <c r="F37" s="184">
        <v>86</v>
      </c>
      <c r="G37" s="198" t="s">
        <v>298</v>
      </c>
      <c r="H37" s="186" t="str">
        <f t="shared" si="0"/>
        <v/>
      </c>
      <c r="I37" s="187">
        <f t="shared" si="1"/>
        <v>1</v>
      </c>
    </row>
    <row r="38" spans="1:15" s="175" customFormat="1" ht="25.2">
      <c r="A38" s="175" t="s">
        <v>3943</v>
      </c>
      <c r="B38" s="180" t="s">
        <v>300</v>
      </c>
      <c r="C38" s="199" t="s">
        <v>289</v>
      </c>
      <c r="D38" s="197" t="s">
        <v>288</v>
      </c>
      <c r="E38" s="183">
        <v>87</v>
      </c>
      <c r="F38" s="184">
        <v>86</v>
      </c>
      <c r="G38" s="198" t="s">
        <v>298</v>
      </c>
      <c r="H38" s="186" t="str">
        <f t="shared" si="0"/>
        <v/>
      </c>
      <c r="I38" s="187">
        <f t="shared" si="1"/>
        <v>1</v>
      </c>
      <c r="O38" s="200"/>
    </row>
    <row r="39" spans="1:15" s="175" customFormat="1" ht="16.8">
      <c r="A39" s="175" t="s">
        <v>3893</v>
      </c>
      <c r="B39" s="189" t="s">
        <v>301</v>
      </c>
      <c r="C39" s="190" t="s">
        <v>374</v>
      </c>
      <c r="D39" s="191" t="s">
        <v>285</v>
      </c>
      <c r="E39" s="201">
        <v>30</v>
      </c>
      <c r="F39" s="193">
        <v>30</v>
      </c>
      <c r="G39" s="202"/>
      <c r="H39" s="203" t="str">
        <f t="shared" si="0"/>
        <v/>
      </c>
      <c r="I39" s="195" t="str">
        <f t="shared" si="1"/>
        <v/>
      </c>
      <c r="O39" s="200"/>
    </row>
    <row r="40" spans="1:15" s="175" customFormat="1" ht="16.8">
      <c r="A40" s="175" t="s">
        <v>3937</v>
      </c>
      <c r="B40" s="180" t="s">
        <v>302</v>
      </c>
      <c r="C40" s="199" t="s">
        <v>375</v>
      </c>
      <c r="D40" s="197" t="s">
        <v>376</v>
      </c>
      <c r="E40" s="183">
        <v>60</v>
      </c>
      <c r="F40" s="194">
        <v>60</v>
      </c>
      <c r="G40" s="204"/>
      <c r="H40" s="186" t="str">
        <f t="shared" si="0"/>
        <v/>
      </c>
      <c r="I40" s="187" t="str">
        <f t="shared" si="1"/>
        <v/>
      </c>
      <c r="O40" s="200"/>
    </row>
    <row r="41" spans="1:15" s="175" customFormat="1" ht="26.4">
      <c r="A41" s="175" t="s">
        <v>869</v>
      </c>
      <c r="B41" s="180" t="s">
        <v>303</v>
      </c>
      <c r="C41" s="199" t="s">
        <v>377</v>
      </c>
      <c r="D41" s="197" t="s">
        <v>281</v>
      </c>
      <c r="E41" s="183">
        <v>30</v>
      </c>
      <c r="F41" s="205">
        <v>29</v>
      </c>
      <c r="G41" s="206" t="s">
        <v>384</v>
      </c>
      <c r="H41" s="186" t="str">
        <f t="shared" si="0"/>
        <v/>
      </c>
      <c r="I41" s="187">
        <f t="shared" si="1"/>
        <v>1</v>
      </c>
      <c r="M41" s="207"/>
      <c r="N41" s="207"/>
    </row>
    <row r="42" spans="1:15" s="175" customFormat="1" ht="26.4">
      <c r="A42" s="175" t="s">
        <v>3896</v>
      </c>
      <c r="B42" s="180" t="s">
        <v>304</v>
      </c>
      <c r="C42" s="199" t="s">
        <v>378</v>
      </c>
      <c r="D42" s="197" t="s">
        <v>281</v>
      </c>
      <c r="E42" s="183">
        <v>30</v>
      </c>
      <c r="F42" s="184">
        <v>29</v>
      </c>
      <c r="G42" s="206" t="s">
        <v>384</v>
      </c>
      <c r="H42" s="186" t="str">
        <f t="shared" si="0"/>
        <v/>
      </c>
      <c r="I42" s="187">
        <f t="shared" si="1"/>
        <v>1</v>
      </c>
      <c r="M42" s="208"/>
      <c r="N42" s="208"/>
    </row>
    <row r="43" spans="1:15" s="175" customFormat="1" ht="16.8">
      <c r="A43" s="175" t="s">
        <v>3895</v>
      </c>
      <c r="B43" s="180" t="s">
        <v>305</v>
      </c>
      <c r="C43" s="199" t="s">
        <v>252</v>
      </c>
      <c r="D43" s="197" t="s">
        <v>281</v>
      </c>
      <c r="E43" s="183">
        <v>0</v>
      </c>
      <c r="F43" s="184">
        <v>3</v>
      </c>
      <c r="G43" s="194" t="s">
        <v>279</v>
      </c>
      <c r="H43" s="186">
        <f t="shared" si="0"/>
        <v>3</v>
      </c>
      <c r="I43" s="187" t="str">
        <f t="shared" si="1"/>
        <v/>
      </c>
    </row>
    <row r="44" spans="1:15" s="175" customFormat="1" ht="16.8">
      <c r="A44" s="175" t="s">
        <v>980</v>
      </c>
      <c r="B44" s="189" t="s">
        <v>306</v>
      </c>
      <c r="C44" s="190" t="s">
        <v>379</v>
      </c>
      <c r="D44" s="191" t="s">
        <v>285</v>
      </c>
      <c r="E44" s="201">
        <v>1</v>
      </c>
      <c r="F44" s="209">
        <v>0</v>
      </c>
      <c r="G44" s="194" t="s">
        <v>385</v>
      </c>
      <c r="H44" s="203" t="str">
        <f t="shared" si="0"/>
        <v/>
      </c>
      <c r="I44" s="195">
        <f t="shared" si="1"/>
        <v>1</v>
      </c>
    </row>
    <row r="45" spans="1:15" s="175" customFormat="1" ht="25.2">
      <c r="A45" s="175" t="s">
        <v>869</v>
      </c>
      <c r="B45" s="180" t="s">
        <v>307</v>
      </c>
      <c r="C45" s="199" t="s">
        <v>377</v>
      </c>
      <c r="D45" s="197" t="s">
        <v>288</v>
      </c>
      <c r="E45" s="183">
        <v>1</v>
      </c>
      <c r="F45" s="210">
        <v>0</v>
      </c>
      <c r="G45" s="198" t="s">
        <v>298</v>
      </c>
      <c r="H45" s="186" t="str">
        <f t="shared" si="0"/>
        <v/>
      </c>
      <c r="I45" s="187">
        <f t="shared" si="1"/>
        <v>1</v>
      </c>
      <c r="O45" s="200"/>
    </row>
    <row r="46" spans="1:15" s="175" customFormat="1" ht="25.2">
      <c r="A46" s="175" t="s">
        <v>1954</v>
      </c>
      <c r="B46" s="180" t="s">
        <v>308</v>
      </c>
      <c r="C46" s="199" t="s">
        <v>290</v>
      </c>
      <c r="D46" s="197" t="s">
        <v>288</v>
      </c>
      <c r="E46" s="183">
        <v>1</v>
      </c>
      <c r="F46" s="210">
        <v>0</v>
      </c>
      <c r="G46" s="198" t="s">
        <v>298</v>
      </c>
      <c r="H46" s="186" t="str">
        <f t="shared" si="0"/>
        <v/>
      </c>
      <c r="I46" s="187">
        <f t="shared" si="1"/>
        <v>1</v>
      </c>
      <c r="O46" s="200"/>
    </row>
    <row r="47" spans="1:15" s="175" customFormat="1" ht="25.2">
      <c r="A47" s="175" t="s">
        <v>3896</v>
      </c>
      <c r="B47" s="180" t="s">
        <v>309</v>
      </c>
      <c r="C47" s="199" t="s">
        <v>380</v>
      </c>
      <c r="D47" s="197" t="s">
        <v>288</v>
      </c>
      <c r="E47" s="194">
        <v>1</v>
      </c>
      <c r="F47" s="210">
        <v>0</v>
      </c>
      <c r="G47" s="198" t="s">
        <v>298</v>
      </c>
      <c r="H47" s="186" t="str">
        <f t="shared" si="0"/>
        <v/>
      </c>
      <c r="I47" s="187">
        <f t="shared" si="1"/>
        <v>1</v>
      </c>
      <c r="O47" s="200"/>
    </row>
    <row r="48" spans="1:15" s="175" customFormat="1" ht="16.8">
      <c r="A48" s="175" t="s">
        <v>939</v>
      </c>
      <c r="B48" s="180" t="s">
        <v>310</v>
      </c>
      <c r="C48" s="199" t="s">
        <v>381</v>
      </c>
      <c r="D48" s="197" t="s">
        <v>382</v>
      </c>
      <c r="E48" s="184">
        <v>19014</v>
      </c>
      <c r="F48" s="184">
        <v>19014</v>
      </c>
      <c r="G48" s="204"/>
      <c r="H48" s="186" t="str">
        <f t="shared" si="0"/>
        <v/>
      </c>
      <c r="I48" s="187" t="str">
        <f t="shared" si="1"/>
        <v/>
      </c>
      <c r="O48" s="200"/>
    </row>
    <row r="49" spans="1:15" s="175" customFormat="1" ht="16.8">
      <c r="A49" s="175" t="s">
        <v>3938</v>
      </c>
      <c r="B49" s="180" t="s">
        <v>311</v>
      </c>
      <c r="C49" s="199" t="s">
        <v>383</v>
      </c>
      <c r="D49" s="197" t="s">
        <v>382</v>
      </c>
      <c r="E49" s="211">
        <v>3146.9</v>
      </c>
      <c r="F49" s="211">
        <v>3146.9</v>
      </c>
      <c r="G49" s="204"/>
      <c r="H49" s="186" t="str">
        <f t="shared" si="0"/>
        <v/>
      </c>
      <c r="I49" s="187" t="str">
        <f t="shared" si="1"/>
        <v/>
      </c>
      <c r="O49" s="200"/>
    </row>
    <row r="50" spans="1:15" s="175" customFormat="1" ht="16.8">
      <c r="A50" s="175" t="s">
        <v>3939</v>
      </c>
      <c r="B50" s="180" t="s">
        <v>312</v>
      </c>
      <c r="C50" s="199" t="s">
        <v>386</v>
      </c>
      <c r="D50" s="197" t="s">
        <v>382</v>
      </c>
      <c r="E50" s="183">
        <v>159</v>
      </c>
      <c r="F50" s="184">
        <v>102</v>
      </c>
      <c r="G50" s="212" t="s">
        <v>396</v>
      </c>
      <c r="H50" s="186" t="str">
        <f t="shared" si="0"/>
        <v/>
      </c>
      <c r="I50" s="213">
        <f t="shared" si="1"/>
        <v>57</v>
      </c>
    </row>
    <row r="51" spans="1:15" s="175" customFormat="1" ht="16.8">
      <c r="A51" s="175" t="s">
        <v>3940</v>
      </c>
      <c r="B51" s="189" t="s">
        <v>313</v>
      </c>
      <c r="C51" s="190" t="s">
        <v>387</v>
      </c>
      <c r="D51" s="191" t="s">
        <v>285</v>
      </c>
      <c r="E51" s="201">
        <v>77</v>
      </c>
      <c r="F51" s="193">
        <v>74</v>
      </c>
      <c r="G51" s="212" t="s">
        <v>396</v>
      </c>
      <c r="H51" s="186" t="str">
        <f t="shared" si="0"/>
        <v/>
      </c>
      <c r="I51" s="186">
        <f t="shared" si="1"/>
        <v>3</v>
      </c>
      <c r="O51" s="200"/>
    </row>
    <row r="52" spans="1:15" s="175" customFormat="1" ht="25.2">
      <c r="A52" s="175" t="s">
        <v>3890</v>
      </c>
      <c r="B52" s="180" t="s">
        <v>314</v>
      </c>
      <c r="C52" s="199" t="s">
        <v>388</v>
      </c>
      <c r="D52" s="197" t="s">
        <v>288</v>
      </c>
      <c r="E52" s="183">
        <v>77</v>
      </c>
      <c r="F52" s="184">
        <v>74</v>
      </c>
      <c r="G52" s="198" t="s">
        <v>298</v>
      </c>
      <c r="H52" s="186" t="str">
        <f t="shared" si="0"/>
        <v/>
      </c>
      <c r="I52" s="186">
        <f t="shared" si="1"/>
        <v>3</v>
      </c>
      <c r="O52" s="200"/>
    </row>
    <row r="53" spans="1:15" s="175" customFormat="1" ht="25.2">
      <c r="A53" s="175" t="s">
        <v>3891</v>
      </c>
      <c r="B53" s="180" t="s">
        <v>315</v>
      </c>
      <c r="C53" s="199" t="s">
        <v>389</v>
      </c>
      <c r="D53" s="197" t="s">
        <v>288</v>
      </c>
      <c r="E53" s="183">
        <v>154</v>
      </c>
      <c r="F53" s="184">
        <v>148</v>
      </c>
      <c r="G53" s="198" t="s">
        <v>298</v>
      </c>
      <c r="H53" s="186" t="str">
        <f t="shared" si="0"/>
        <v/>
      </c>
      <c r="I53" s="186">
        <f t="shared" si="1"/>
        <v>6</v>
      </c>
      <c r="O53" s="200"/>
    </row>
    <row r="54" spans="1:15" s="175" customFormat="1" ht="25.2">
      <c r="A54" s="175" t="s">
        <v>3944</v>
      </c>
      <c r="B54" s="180" t="s">
        <v>316</v>
      </c>
      <c r="C54" s="199" t="s">
        <v>291</v>
      </c>
      <c r="D54" s="197" t="s">
        <v>288</v>
      </c>
      <c r="E54" s="183">
        <v>154</v>
      </c>
      <c r="F54" s="184">
        <v>148</v>
      </c>
      <c r="G54" s="198" t="s">
        <v>298</v>
      </c>
      <c r="H54" s="186" t="str">
        <f t="shared" si="0"/>
        <v/>
      </c>
      <c r="I54" s="186">
        <f t="shared" si="1"/>
        <v>6</v>
      </c>
      <c r="O54" s="200"/>
    </row>
    <row r="55" spans="1:15" s="175" customFormat="1" ht="25.2">
      <c r="A55" s="175" t="s">
        <v>3941</v>
      </c>
      <c r="B55" s="180" t="s">
        <v>317</v>
      </c>
      <c r="C55" s="199" t="s">
        <v>292</v>
      </c>
      <c r="D55" s="197" t="s">
        <v>288</v>
      </c>
      <c r="E55" s="183">
        <v>77</v>
      </c>
      <c r="F55" s="184">
        <v>74</v>
      </c>
      <c r="G55" s="198" t="s">
        <v>298</v>
      </c>
      <c r="H55" s="186" t="str">
        <f t="shared" si="0"/>
        <v/>
      </c>
      <c r="I55" s="186">
        <f t="shared" si="1"/>
        <v>3</v>
      </c>
      <c r="O55" s="200"/>
    </row>
    <row r="56" spans="1:15" s="175" customFormat="1" ht="25.2">
      <c r="A56" s="175" t="s">
        <v>3943</v>
      </c>
      <c r="B56" s="180" t="s">
        <v>318</v>
      </c>
      <c r="C56" s="199" t="s">
        <v>289</v>
      </c>
      <c r="D56" s="197" t="s">
        <v>288</v>
      </c>
      <c r="E56" s="183">
        <v>77</v>
      </c>
      <c r="F56" s="184">
        <v>74</v>
      </c>
      <c r="G56" s="198" t="s">
        <v>298</v>
      </c>
      <c r="H56" s="186" t="str">
        <f t="shared" si="0"/>
        <v/>
      </c>
      <c r="I56" s="186">
        <f t="shared" si="1"/>
        <v>3</v>
      </c>
      <c r="O56" s="200"/>
    </row>
    <row r="57" spans="1:15" s="175" customFormat="1" ht="26.4">
      <c r="A57" s="175" t="s">
        <v>3945</v>
      </c>
      <c r="B57" s="189" t="s">
        <v>319</v>
      </c>
      <c r="C57" s="190" t="s">
        <v>390</v>
      </c>
      <c r="D57" s="191" t="s">
        <v>285</v>
      </c>
      <c r="E57" s="201">
        <v>8</v>
      </c>
      <c r="F57" s="193">
        <v>9</v>
      </c>
      <c r="G57" s="206" t="s">
        <v>397</v>
      </c>
      <c r="H57" s="186">
        <f t="shared" si="0"/>
        <v>1</v>
      </c>
      <c r="I57" s="187" t="str">
        <f t="shared" si="1"/>
        <v/>
      </c>
      <c r="O57" s="200"/>
    </row>
    <row r="58" spans="1:15" s="175" customFormat="1" ht="25.2">
      <c r="A58" s="175" t="s">
        <v>3890</v>
      </c>
      <c r="B58" s="180" t="s">
        <v>320</v>
      </c>
      <c r="C58" s="199" t="s">
        <v>388</v>
      </c>
      <c r="D58" s="197" t="s">
        <v>288</v>
      </c>
      <c r="E58" s="183">
        <v>16</v>
      </c>
      <c r="F58" s="184">
        <v>18</v>
      </c>
      <c r="G58" s="198" t="s">
        <v>298</v>
      </c>
      <c r="H58" s="186">
        <f t="shared" si="0"/>
        <v>2</v>
      </c>
      <c r="I58" s="187" t="str">
        <f t="shared" si="1"/>
        <v/>
      </c>
    </row>
    <row r="59" spans="1:15" s="175" customFormat="1" ht="25.2">
      <c r="A59" s="175" t="s">
        <v>3891</v>
      </c>
      <c r="B59" s="180" t="s">
        <v>321</v>
      </c>
      <c r="C59" s="199" t="s">
        <v>389</v>
      </c>
      <c r="D59" s="197" t="s">
        <v>288</v>
      </c>
      <c r="E59" s="183">
        <v>16</v>
      </c>
      <c r="F59" s="184">
        <v>18</v>
      </c>
      <c r="G59" s="198" t="s">
        <v>298</v>
      </c>
      <c r="H59" s="186">
        <f t="shared" si="0"/>
        <v>2</v>
      </c>
      <c r="I59" s="187" t="str">
        <f t="shared" si="1"/>
        <v/>
      </c>
    </row>
    <row r="60" spans="1:15" s="175" customFormat="1" ht="25.2">
      <c r="A60" s="175" t="s">
        <v>3944</v>
      </c>
      <c r="B60" s="180" t="s">
        <v>322</v>
      </c>
      <c r="C60" s="199" t="s">
        <v>291</v>
      </c>
      <c r="D60" s="197" t="s">
        <v>288</v>
      </c>
      <c r="E60" s="183">
        <v>32</v>
      </c>
      <c r="F60" s="184">
        <v>36</v>
      </c>
      <c r="G60" s="198" t="s">
        <v>298</v>
      </c>
      <c r="H60" s="186">
        <f t="shared" si="0"/>
        <v>4</v>
      </c>
      <c r="I60" s="187" t="str">
        <f t="shared" si="1"/>
        <v/>
      </c>
    </row>
    <row r="61" spans="1:15" s="175" customFormat="1" ht="25.2">
      <c r="A61" s="175" t="s">
        <v>3946</v>
      </c>
      <c r="B61" s="180" t="s">
        <v>323</v>
      </c>
      <c r="C61" s="199" t="s">
        <v>292</v>
      </c>
      <c r="D61" s="197" t="s">
        <v>288</v>
      </c>
      <c r="E61" s="183">
        <v>8</v>
      </c>
      <c r="F61" s="184">
        <v>9</v>
      </c>
      <c r="G61" s="198" t="s">
        <v>298</v>
      </c>
      <c r="H61" s="186">
        <f t="shared" si="0"/>
        <v>1</v>
      </c>
      <c r="I61" s="187" t="str">
        <f t="shared" si="1"/>
        <v/>
      </c>
    </row>
    <row r="62" spans="1:15" s="175" customFormat="1" ht="25.2">
      <c r="A62" s="175" t="s">
        <v>3943</v>
      </c>
      <c r="B62" s="180" t="s">
        <v>324</v>
      </c>
      <c r="C62" s="199" t="s">
        <v>289</v>
      </c>
      <c r="D62" s="197" t="s">
        <v>288</v>
      </c>
      <c r="E62" s="183">
        <v>8</v>
      </c>
      <c r="F62" s="184">
        <v>9</v>
      </c>
      <c r="G62" s="198" t="s">
        <v>298</v>
      </c>
      <c r="H62" s="186">
        <f t="shared" si="0"/>
        <v>1</v>
      </c>
      <c r="I62" s="187" t="str">
        <f t="shared" si="1"/>
        <v/>
      </c>
    </row>
    <row r="63" spans="1:15" s="175" customFormat="1" ht="26.4">
      <c r="A63" s="175" t="s">
        <v>720</v>
      </c>
      <c r="B63" s="189" t="s">
        <v>325</v>
      </c>
      <c r="C63" s="190" t="s">
        <v>391</v>
      </c>
      <c r="D63" s="191" t="s">
        <v>285</v>
      </c>
      <c r="E63" s="214">
        <v>0</v>
      </c>
      <c r="F63" s="193">
        <v>1</v>
      </c>
      <c r="G63" s="206" t="s">
        <v>398</v>
      </c>
      <c r="H63" s="186">
        <f t="shared" ref="H63:H94" si="2">IF(F63&gt;E63,F63-E63,"")</f>
        <v>1</v>
      </c>
      <c r="I63" s="187" t="str">
        <f t="shared" si="1"/>
        <v/>
      </c>
    </row>
    <row r="64" spans="1:15" s="175" customFormat="1" ht="25.2">
      <c r="A64" s="175" t="s">
        <v>3887</v>
      </c>
      <c r="B64" s="180" t="s">
        <v>326</v>
      </c>
      <c r="C64" s="199" t="s">
        <v>392</v>
      </c>
      <c r="D64" s="197" t="s">
        <v>288</v>
      </c>
      <c r="E64" s="215">
        <v>0</v>
      </c>
      <c r="F64" s="184">
        <v>1</v>
      </c>
      <c r="G64" s="198" t="s">
        <v>298</v>
      </c>
      <c r="H64" s="186">
        <f t="shared" si="2"/>
        <v>1</v>
      </c>
      <c r="I64" s="187" t="str">
        <f t="shared" si="1"/>
        <v/>
      </c>
    </row>
    <row r="65" spans="1:9" s="175" customFormat="1" ht="25.2">
      <c r="A65" s="175" t="s">
        <v>3947</v>
      </c>
      <c r="B65" s="180" t="s">
        <v>327</v>
      </c>
      <c r="C65" s="199" t="s">
        <v>393</v>
      </c>
      <c r="D65" s="197" t="s">
        <v>288</v>
      </c>
      <c r="E65" s="215">
        <v>0</v>
      </c>
      <c r="F65" s="184">
        <v>1</v>
      </c>
      <c r="G65" s="198" t="s">
        <v>298</v>
      </c>
      <c r="H65" s="186">
        <f t="shared" si="2"/>
        <v>1</v>
      </c>
      <c r="I65" s="187" t="str">
        <f t="shared" si="1"/>
        <v/>
      </c>
    </row>
    <row r="66" spans="1:9" s="175" customFormat="1" ht="25.2">
      <c r="A66" s="175" t="s">
        <v>3944</v>
      </c>
      <c r="B66" s="180" t="s">
        <v>328</v>
      </c>
      <c r="C66" s="199" t="s">
        <v>291</v>
      </c>
      <c r="D66" s="197" t="s">
        <v>288</v>
      </c>
      <c r="E66" s="215">
        <v>0</v>
      </c>
      <c r="F66" s="184">
        <v>1</v>
      </c>
      <c r="G66" s="198" t="s">
        <v>298</v>
      </c>
      <c r="H66" s="186">
        <f t="shared" si="2"/>
        <v>1</v>
      </c>
      <c r="I66" s="187" t="str">
        <f t="shared" ref="I66:I97" si="3">IF(E66&gt;F66,E66-F66,"")</f>
        <v/>
      </c>
    </row>
    <row r="67" spans="1:9" s="175" customFormat="1" ht="25.2">
      <c r="A67" s="175" t="s">
        <v>3941</v>
      </c>
      <c r="B67" s="180" t="s">
        <v>329</v>
      </c>
      <c r="C67" s="199" t="s">
        <v>292</v>
      </c>
      <c r="D67" s="197" t="s">
        <v>288</v>
      </c>
      <c r="E67" s="215">
        <v>0</v>
      </c>
      <c r="F67" s="184">
        <v>1</v>
      </c>
      <c r="G67" s="198" t="s">
        <v>298</v>
      </c>
      <c r="H67" s="186">
        <f t="shared" si="2"/>
        <v>1</v>
      </c>
      <c r="I67" s="187" t="str">
        <f t="shared" si="3"/>
        <v/>
      </c>
    </row>
    <row r="68" spans="1:9" s="175" customFormat="1" ht="25.2">
      <c r="A68" s="175" t="s">
        <v>3943</v>
      </c>
      <c r="B68" s="180" t="s">
        <v>330</v>
      </c>
      <c r="C68" s="199" t="s">
        <v>289</v>
      </c>
      <c r="D68" s="197" t="s">
        <v>288</v>
      </c>
      <c r="E68" s="215">
        <v>0</v>
      </c>
      <c r="F68" s="184">
        <v>1</v>
      </c>
      <c r="G68" s="198" t="s">
        <v>298</v>
      </c>
      <c r="H68" s="186">
        <f t="shared" si="2"/>
        <v>1</v>
      </c>
      <c r="I68" s="187" t="str">
        <f t="shared" si="3"/>
        <v/>
      </c>
    </row>
    <row r="69" spans="1:9" s="175" customFormat="1" ht="26.4">
      <c r="A69" s="175" t="s">
        <v>722</v>
      </c>
      <c r="B69" s="216" t="s">
        <v>331</v>
      </c>
      <c r="C69" s="217" t="s">
        <v>394</v>
      </c>
      <c r="D69" s="218" t="s">
        <v>285</v>
      </c>
      <c r="E69" s="219">
        <v>4</v>
      </c>
      <c r="F69" s="220">
        <v>5</v>
      </c>
      <c r="G69" s="221" t="s">
        <v>399</v>
      </c>
      <c r="H69" s="186">
        <f t="shared" si="2"/>
        <v>1</v>
      </c>
      <c r="I69" s="187" t="str">
        <f t="shared" si="3"/>
        <v/>
      </c>
    </row>
    <row r="70" spans="1:9" s="175" customFormat="1" ht="25.2">
      <c r="A70" s="175" t="s">
        <v>3888</v>
      </c>
      <c r="B70" s="180" t="s">
        <v>332</v>
      </c>
      <c r="C70" s="199" t="s">
        <v>395</v>
      </c>
      <c r="D70" s="197" t="s">
        <v>288</v>
      </c>
      <c r="E70" s="183">
        <v>8</v>
      </c>
      <c r="F70" s="184">
        <v>10</v>
      </c>
      <c r="G70" s="198" t="s">
        <v>298</v>
      </c>
      <c r="H70" s="186">
        <f t="shared" si="2"/>
        <v>2</v>
      </c>
      <c r="I70" s="187" t="str">
        <f t="shared" si="3"/>
        <v/>
      </c>
    </row>
    <row r="71" spans="1:9" s="175" customFormat="1" ht="25.2">
      <c r="A71" s="175" t="s">
        <v>3891</v>
      </c>
      <c r="B71" s="180" t="s">
        <v>333</v>
      </c>
      <c r="C71" s="199" t="s">
        <v>389</v>
      </c>
      <c r="D71" s="197" t="s">
        <v>288</v>
      </c>
      <c r="E71" s="183">
        <v>8</v>
      </c>
      <c r="F71" s="184">
        <v>10</v>
      </c>
      <c r="G71" s="198" t="s">
        <v>298</v>
      </c>
      <c r="H71" s="186">
        <f t="shared" si="2"/>
        <v>2</v>
      </c>
      <c r="I71" s="187" t="str">
        <f t="shared" si="3"/>
        <v/>
      </c>
    </row>
    <row r="72" spans="1:9" s="175" customFormat="1" ht="25.2">
      <c r="A72" s="175" t="s">
        <v>3944</v>
      </c>
      <c r="B72" s="180" t="s">
        <v>334</v>
      </c>
      <c r="C72" s="199" t="s">
        <v>291</v>
      </c>
      <c r="D72" s="197" t="s">
        <v>288</v>
      </c>
      <c r="E72" s="183">
        <v>16</v>
      </c>
      <c r="F72" s="184">
        <v>20</v>
      </c>
      <c r="G72" s="198" t="s">
        <v>298</v>
      </c>
      <c r="H72" s="186">
        <f t="shared" si="2"/>
        <v>4</v>
      </c>
      <c r="I72" s="187" t="str">
        <f t="shared" si="3"/>
        <v/>
      </c>
    </row>
    <row r="73" spans="1:9" s="175" customFormat="1" ht="25.2">
      <c r="A73" s="175" t="s">
        <v>3941</v>
      </c>
      <c r="B73" s="180" t="s">
        <v>335</v>
      </c>
      <c r="C73" s="199" t="s">
        <v>292</v>
      </c>
      <c r="D73" s="197" t="s">
        <v>288</v>
      </c>
      <c r="E73" s="183">
        <v>8</v>
      </c>
      <c r="F73" s="184">
        <v>10</v>
      </c>
      <c r="G73" s="198" t="s">
        <v>298</v>
      </c>
      <c r="H73" s="186">
        <f t="shared" si="2"/>
        <v>2</v>
      </c>
      <c r="I73" s="187" t="str">
        <f t="shared" si="3"/>
        <v/>
      </c>
    </row>
    <row r="74" spans="1:9" s="175" customFormat="1" ht="25.2">
      <c r="A74" s="175" t="s">
        <v>3943</v>
      </c>
      <c r="B74" s="180" t="s">
        <v>336</v>
      </c>
      <c r="C74" s="199" t="s">
        <v>289</v>
      </c>
      <c r="D74" s="197" t="s">
        <v>288</v>
      </c>
      <c r="E74" s="183">
        <v>8</v>
      </c>
      <c r="F74" s="184">
        <v>10</v>
      </c>
      <c r="G74" s="198" t="s">
        <v>298</v>
      </c>
      <c r="H74" s="186">
        <f t="shared" si="2"/>
        <v>2</v>
      </c>
      <c r="I74" s="187" t="str">
        <f t="shared" si="3"/>
        <v/>
      </c>
    </row>
    <row r="75" spans="1:9" s="175" customFormat="1" ht="25.2">
      <c r="A75" s="175" t="s">
        <v>3949</v>
      </c>
      <c r="B75" s="180" t="s">
        <v>337</v>
      </c>
      <c r="C75" s="199" t="s">
        <v>293</v>
      </c>
      <c r="D75" s="197" t="s">
        <v>288</v>
      </c>
      <c r="E75" s="183">
        <v>8</v>
      </c>
      <c r="F75" s="184">
        <v>10</v>
      </c>
      <c r="G75" s="198" t="s">
        <v>298</v>
      </c>
      <c r="H75" s="186">
        <f t="shared" si="2"/>
        <v>2</v>
      </c>
      <c r="I75" s="187" t="str">
        <f t="shared" si="3"/>
        <v/>
      </c>
    </row>
    <row r="76" spans="1:9" s="175" customFormat="1" ht="16.8">
      <c r="A76" s="175" t="s">
        <v>3952</v>
      </c>
      <c r="B76" s="189" t="s">
        <v>338</v>
      </c>
      <c r="C76" s="190" t="s">
        <v>400</v>
      </c>
      <c r="D76" s="191" t="s">
        <v>285</v>
      </c>
      <c r="E76" s="201">
        <v>9</v>
      </c>
      <c r="F76" s="193">
        <v>9</v>
      </c>
      <c r="G76" s="202"/>
      <c r="H76" s="186" t="str">
        <f t="shared" si="2"/>
        <v/>
      </c>
      <c r="I76" s="187" t="str">
        <f t="shared" si="3"/>
        <v/>
      </c>
    </row>
    <row r="77" spans="1:9" s="175" customFormat="1" ht="16.8">
      <c r="A77" s="175" t="s">
        <v>3950</v>
      </c>
      <c r="B77" s="180" t="s">
        <v>339</v>
      </c>
      <c r="C77" s="199" t="s">
        <v>401</v>
      </c>
      <c r="D77" s="197" t="s">
        <v>382</v>
      </c>
      <c r="E77" s="183">
        <v>126</v>
      </c>
      <c r="F77" s="184">
        <v>126</v>
      </c>
      <c r="G77" s="204"/>
      <c r="H77" s="186" t="str">
        <f t="shared" si="2"/>
        <v/>
      </c>
      <c r="I77" s="187" t="str">
        <f t="shared" si="3"/>
        <v/>
      </c>
    </row>
    <row r="78" spans="1:9" s="175" customFormat="1" ht="16.8">
      <c r="A78" s="175" t="s">
        <v>3953</v>
      </c>
      <c r="B78" s="180" t="s">
        <v>340</v>
      </c>
      <c r="C78" s="199" t="s">
        <v>402</v>
      </c>
      <c r="D78" s="197" t="s">
        <v>288</v>
      </c>
      <c r="E78" s="183">
        <v>9</v>
      </c>
      <c r="F78" s="184">
        <v>9</v>
      </c>
      <c r="G78" s="204"/>
      <c r="H78" s="186" t="str">
        <f t="shared" si="2"/>
        <v/>
      </c>
      <c r="I78" s="187" t="str">
        <f t="shared" si="3"/>
        <v/>
      </c>
    </row>
    <row r="79" spans="1:9" s="175" customFormat="1" ht="16.8">
      <c r="A79" s="175" t="s">
        <v>3954</v>
      </c>
      <c r="B79" s="180" t="s">
        <v>341</v>
      </c>
      <c r="C79" s="199" t="s">
        <v>403</v>
      </c>
      <c r="D79" s="197" t="s">
        <v>288</v>
      </c>
      <c r="E79" s="183">
        <v>36</v>
      </c>
      <c r="F79" s="184">
        <v>36</v>
      </c>
      <c r="G79" s="204"/>
      <c r="H79" s="186" t="str">
        <f t="shared" si="2"/>
        <v/>
      </c>
      <c r="I79" s="187" t="str">
        <f t="shared" si="3"/>
        <v/>
      </c>
    </row>
    <row r="80" spans="1:9" s="175" customFormat="1" ht="16.8">
      <c r="A80" s="175" t="s">
        <v>3955</v>
      </c>
      <c r="B80" s="180" t="s">
        <v>342</v>
      </c>
      <c r="C80" s="199" t="s">
        <v>404</v>
      </c>
      <c r="D80" s="197" t="s">
        <v>288</v>
      </c>
      <c r="E80" s="183">
        <v>9</v>
      </c>
      <c r="F80" s="184">
        <v>9</v>
      </c>
      <c r="G80" s="204"/>
      <c r="H80" s="186" t="str">
        <f t="shared" si="2"/>
        <v/>
      </c>
      <c r="I80" s="187" t="str">
        <f t="shared" si="3"/>
        <v/>
      </c>
    </row>
    <row r="81" spans="1:9" s="175" customFormat="1" ht="16.8">
      <c r="A81" s="175" t="s">
        <v>3951</v>
      </c>
      <c r="B81" s="189" t="s">
        <v>343</v>
      </c>
      <c r="C81" s="190" t="s">
        <v>405</v>
      </c>
      <c r="D81" s="191" t="s">
        <v>285</v>
      </c>
      <c r="E81" s="201">
        <v>3</v>
      </c>
      <c r="F81" s="193">
        <v>3</v>
      </c>
      <c r="G81" s="202"/>
      <c r="H81" s="186" t="str">
        <f t="shared" si="2"/>
        <v/>
      </c>
      <c r="I81" s="187" t="str">
        <f t="shared" si="3"/>
        <v/>
      </c>
    </row>
    <row r="82" spans="1:9" s="175" customFormat="1" ht="16.8">
      <c r="A82" s="175" t="s">
        <v>3950</v>
      </c>
      <c r="B82" s="180" t="s">
        <v>344</v>
      </c>
      <c r="C82" s="199" t="s">
        <v>401</v>
      </c>
      <c r="D82" s="197" t="s">
        <v>382</v>
      </c>
      <c r="E82" s="183">
        <v>36</v>
      </c>
      <c r="F82" s="184">
        <v>36</v>
      </c>
      <c r="G82" s="204"/>
      <c r="H82" s="186" t="str">
        <f t="shared" si="2"/>
        <v/>
      </c>
      <c r="I82" s="187" t="str">
        <f t="shared" si="3"/>
        <v/>
      </c>
    </row>
    <row r="83" spans="1:9" s="175" customFormat="1" ht="16.8">
      <c r="A83" s="175" t="s">
        <v>3953</v>
      </c>
      <c r="B83" s="180" t="s">
        <v>345</v>
      </c>
      <c r="C83" s="199" t="s">
        <v>402</v>
      </c>
      <c r="D83" s="197" t="s">
        <v>288</v>
      </c>
      <c r="E83" s="183">
        <v>3</v>
      </c>
      <c r="F83" s="184">
        <v>3</v>
      </c>
      <c r="G83" s="204"/>
      <c r="H83" s="186" t="str">
        <f t="shared" si="2"/>
        <v/>
      </c>
      <c r="I83" s="187" t="str">
        <f t="shared" si="3"/>
        <v/>
      </c>
    </row>
    <row r="84" spans="1:9" s="175" customFormat="1" ht="16.8">
      <c r="A84" s="175" t="s">
        <v>3954</v>
      </c>
      <c r="B84" s="180" t="s">
        <v>346</v>
      </c>
      <c r="C84" s="199" t="s">
        <v>403</v>
      </c>
      <c r="D84" s="197" t="s">
        <v>288</v>
      </c>
      <c r="E84" s="183">
        <v>12</v>
      </c>
      <c r="F84" s="184">
        <v>12</v>
      </c>
      <c r="G84" s="204"/>
      <c r="H84" s="186" t="str">
        <f t="shared" si="2"/>
        <v/>
      </c>
      <c r="I84" s="187" t="str">
        <f t="shared" si="3"/>
        <v/>
      </c>
    </row>
    <row r="85" spans="1:9" s="175" customFormat="1" ht="16.8">
      <c r="A85" s="175" t="s">
        <v>3955</v>
      </c>
      <c r="B85" s="180" t="s">
        <v>347</v>
      </c>
      <c r="C85" s="199" t="s">
        <v>404</v>
      </c>
      <c r="D85" s="197" t="s">
        <v>288</v>
      </c>
      <c r="E85" s="183">
        <v>3</v>
      </c>
      <c r="F85" s="184">
        <v>3</v>
      </c>
      <c r="G85" s="204"/>
      <c r="H85" s="186" t="str">
        <f t="shared" si="2"/>
        <v/>
      </c>
      <c r="I85" s="187" t="str">
        <f t="shared" si="3"/>
        <v/>
      </c>
    </row>
    <row r="86" spans="1:9" s="175" customFormat="1" ht="16.8">
      <c r="A86" s="175" t="s">
        <v>3956</v>
      </c>
      <c r="B86" s="180" t="s">
        <v>348</v>
      </c>
      <c r="C86" s="199" t="s">
        <v>406</v>
      </c>
      <c r="D86" s="191" t="s">
        <v>285</v>
      </c>
      <c r="E86" s="183">
        <v>3</v>
      </c>
      <c r="F86" s="184">
        <v>3</v>
      </c>
      <c r="G86" s="204"/>
      <c r="H86" s="186" t="str">
        <f t="shared" si="2"/>
        <v/>
      </c>
      <c r="I86" s="187" t="str">
        <f t="shared" si="3"/>
        <v/>
      </c>
    </row>
    <row r="87" spans="1:9" s="175" customFormat="1" ht="16.8">
      <c r="A87" s="175" t="s">
        <v>3958</v>
      </c>
      <c r="B87" s="180" t="s">
        <v>349</v>
      </c>
      <c r="C87" s="199" t="s">
        <v>407</v>
      </c>
      <c r="D87" s="197" t="s">
        <v>408</v>
      </c>
      <c r="E87" s="183">
        <v>20</v>
      </c>
      <c r="F87" s="184">
        <v>20</v>
      </c>
      <c r="G87" s="204"/>
      <c r="H87" s="186" t="str">
        <f t="shared" si="2"/>
        <v/>
      </c>
      <c r="I87" s="187" t="str">
        <f t="shared" si="3"/>
        <v/>
      </c>
    </row>
    <row r="88" spans="1:9" s="175" customFormat="1" ht="16.8">
      <c r="A88" s="175" t="s">
        <v>3957</v>
      </c>
      <c r="B88" s="180" t="s">
        <v>350</v>
      </c>
      <c r="C88" s="222" t="s">
        <v>409</v>
      </c>
      <c r="D88" s="197" t="s">
        <v>408</v>
      </c>
      <c r="E88" s="183">
        <v>76</v>
      </c>
      <c r="F88" s="184">
        <v>77</v>
      </c>
      <c r="G88" s="185" t="s">
        <v>279</v>
      </c>
      <c r="H88" s="186">
        <f t="shared" si="2"/>
        <v>1</v>
      </c>
      <c r="I88" s="187" t="str">
        <f t="shared" si="3"/>
        <v/>
      </c>
    </row>
    <row r="89" spans="1:9" s="175" customFormat="1" ht="16.8">
      <c r="A89" s="175" t="s">
        <v>1114</v>
      </c>
      <c r="B89" s="180" t="s">
        <v>351</v>
      </c>
      <c r="C89" s="222" t="s">
        <v>410</v>
      </c>
      <c r="D89" s="197" t="s">
        <v>411</v>
      </c>
      <c r="E89" s="223">
        <v>0</v>
      </c>
      <c r="F89" s="184">
        <v>22</v>
      </c>
      <c r="G89" s="185" t="s">
        <v>279</v>
      </c>
      <c r="H89" s="186">
        <f t="shared" si="2"/>
        <v>22</v>
      </c>
      <c r="I89" s="187" t="str">
        <f t="shared" si="3"/>
        <v/>
      </c>
    </row>
    <row r="90" spans="1:9" s="175" customFormat="1" ht="16.8">
      <c r="A90" s="175" t="s">
        <v>3959</v>
      </c>
      <c r="B90" s="180" t="s">
        <v>352</v>
      </c>
      <c r="C90" s="222" t="s">
        <v>353</v>
      </c>
      <c r="D90" s="197" t="s">
        <v>288</v>
      </c>
      <c r="E90" s="183">
        <v>77</v>
      </c>
      <c r="F90" s="184">
        <v>77</v>
      </c>
      <c r="G90" s="185"/>
      <c r="H90" s="186" t="str">
        <f t="shared" si="2"/>
        <v/>
      </c>
      <c r="I90" s="187" t="str">
        <f t="shared" si="3"/>
        <v/>
      </c>
    </row>
    <row r="91" spans="1:9" s="175" customFormat="1" ht="16.8">
      <c r="A91" s="175" t="s">
        <v>3961</v>
      </c>
      <c r="B91" s="180" t="s">
        <v>354</v>
      </c>
      <c r="C91" s="222" t="s">
        <v>412</v>
      </c>
      <c r="D91" s="197" t="s">
        <v>288</v>
      </c>
      <c r="E91" s="183">
        <v>42</v>
      </c>
      <c r="F91" s="184">
        <v>42</v>
      </c>
      <c r="G91" s="185"/>
      <c r="H91" s="186" t="str">
        <f t="shared" si="2"/>
        <v/>
      </c>
      <c r="I91" s="187" t="str">
        <f t="shared" si="3"/>
        <v/>
      </c>
    </row>
    <row r="92" spans="1:9" s="175" customFormat="1" ht="16.8">
      <c r="A92" s="175" t="s">
        <v>3896</v>
      </c>
      <c r="B92" s="180" t="s">
        <v>355</v>
      </c>
      <c r="C92" s="222" t="s">
        <v>413</v>
      </c>
      <c r="D92" s="197" t="s">
        <v>288</v>
      </c>
      <c r="E92" s="194">
        <v>18</v>
      </c>
      <c r="F92" s="184">
        <v>18</v>
      </c>
      <c r="G92" s="185"/>
      <c r="H92" s="224" t="str">
        <f t="shared" si="2"/>
        <v/>
      </c>
      <c r="I92" s="225" t="str">
        <f t="shared" si="3"/>
        <v/>
      </c>
    </row>
    <row r="93" spans="1:9" s="175" customFormat="1" ht="16.8">
      <c r="A93" s="175" t="s">
        <v>3964</v>
      </c>
      <c r="B93" s="189" t="s">
        <v>356</v>
      </c>
      <c r="C93" s="226" t="s">
        <v>414</v>
      </c>
      <c r="D93" s="191" t="s">
        <v>285</v>
      </c>
      <c r="E93" s="192">
        <v>2</v>
      </c>
      <c r="F93" s="193">
        <v>2</v>
      </c>
      <c r="G93" s="227"/>
      <c r="H93" s="203" t="str">
        <f t="shared" si="2"/>
        <v/>
      </c>
      <c r="I93" s="195" t="str">
        <f t="shared" si="3"/>
        <v/>
      </c>
    </row>
    <row r="94" spans="1:9" s="175" customFormat="1" ht="16.8">
      <c r="A94" s="175" t="s">
        <v>3889</v>
      </c>
      <c r="B94" s="180" t="s">
        <v>357</v>
      </c>
      <c r="C94" s="222" t="s">
        <v>415</v>
      </c>
      <c r="D94" s="197" t="s">
        <v>416</v>
      </c>
      <c r="E94" s="194">
        <v>2</v>
      </c>
      <c r="F94" s="184">
        <v>2</v>
      </c>
      <c r="G94" s="185"/>
      <c r="H94" s="186" t="str">
        <f t="shared" si="2"/>
        <v/>
      </c>
      <c r="I94" s="187" t="str">
        <f t="shared" si="3"/>
        <v/>
      </c>
    </row>
    <row r="95" spans="1:9" s="175" customFormat="1" ht="16.8">
      <c r="A95" s="175" t="s">
        <v>2077</v>
      </c>
      <c r="B95" s="180" t="s">
        <v>358</v>
      </c>
      <c r="C95" s="222" t="s">
        <v>417</v>
      </c>
      <c r="D95" s="197" t="s">
        <v>416</v>
      </c>
      <c r="E95" s="194">
        <v>2</v>
      </c>
      <c r="F95" s="184">
        <v>2</v>
      </c>
      <c r="G95" s="185"/>
      <c r="H95" s="186" t="str">
        <f t="shared" ref="H95:H104" si="4">IF(F95&gt;E95,F95-E95,"")</f>
        <v/>
      </c>
      <c r="I95" s="187" t="str">
        <f t="shared" si="3"/>
        <v/>
      </c>
    </row>
    <row r="96" spans="1:9" s="175" customFormat="1" ht="16.8">
      <c r="A96" s="175" t="s">
        <v>3965</v>
      </c>
      <c r="B96" s="180" t="s">
        <v>359</v>
      </c>
      <c r="C96" s="222" t="s">
        <v>360</v>
      </c>
      <c r="D96" s="197" t="s">
        <v>281</v>
      </c>
      <c r="E96" s="194">
        <v>2</v>
      </c>
      <c r="F96" s="184">
        <v>2</v>
      </c>
      <c r="G96" s="185"/>
      <c r="H96" s="186" t="str">
        <f t="shared" si="4"/>
        <v/>
      </c>
      <c r="I96" s="187" t="str">
        <f t="shared" si="3"/>
        <v/>
      </c>
    </row>
    <row r="97" spans="1:9" s="175" customFormat="1" ht="16.8">
      <c r="A97" s="175" t="s">
        <v>3943</v>
      </c>
      <c r="B97" s="180" t="s">
        <v>361</v>
      </c>
      <c r="C97" s="222" t="s">
        <v>362</v>
      </c>
      <c r="D97" s="197" t="s">
        <v>281</v>
      </c>
      <c r="E97" s="194">
        <v>2</v>
      </c>
      <c r="F97" s="184">
        <v>2</v>
      </c>
      <c r="G97" s="185"/>
      <c r="H97" s="186" t="str">
        <f t="shared" si="4"/>
        <v/>
      </c>
      <c r="I97" s="187" t="str">
        <f t="shared" si="3"/>
        <v/>
      </c>
    </row>
    <row r="98" spans="1:9" s="175" customFormat="1" ht="16.8">
      <c r="A98" s="175" t="s">
        <v>3966</v>
      </c>
      <c r="B98" s="180" t="s">
        <v>363</v>
      </c>
      <c r="C98" s="222" t="s">
        <v>364</v>
      </c>
      <c r="D98" s="197" t="s">
        <v>281</v>
      </c>
      <c r="E98" s="194">
        <v>2</v>
      </c>
      <c r="F98" s="184">
        <v>2</v>
      </c>
      <c r="G98" s="185"/>
      <c r="H98" s="186" t="str">
        <f t="shared" si="4"/>
        <v/>
      </c>
      <c r="I98" s="187" t="str">
        <f t="shared" ref="I98:I104" si="5">IF(E98&gt;F98,E98-F98,"")</f>
        <v/>
      </c>
    </row>
    <row r="99" spans="1:9" s="175" customFormat="1" ht="16.8">
      <c r="A99" s="175" t="s">
        <v>955</v>
      </c>
      <c r="B99" s="189" t="s">
        <v>365</v>
      </c>
      <c r="C99" s="226" t="s">
        <v>418</v>
      </c>
      <c r="D99" s="191" t="s">
        <v>285</v>
      </c>
      <c r="E99" s="192">
        <v>3</v>
      </c>
      <c r="F99" s="193">
        <v>5</v>
      </c>
      <c r="G99" s="185" t="s">
        <v>279</v>
      </c>
      <c r="H99" s="203">
        <f t="shared" si="4"/>
        <v>2</v>
      </c>
      <c r="I99" s="195" t="str">
        <f t="shared" si="5"/>
        <v/>
      </c>
    </row>
    <row r="100" spans="1:9" s="175" customFormat="1" ht="25.2">
      <c r="A100" s="175" t="s">
        <v>3896</v>
      </c>
      <c r="B100" s="180" t="s">
        <v>366</v>
      </c>
      <c r="C100" s="222" t="s">
        <v>419</v>
      </c>
      <c r="D100" s="197" t="s">
        <v>281</v>
      </c>
      <c r="E100" s="194">
        <v>3</v>
      </c>
      <c r="F100" s="184">
        <v>5</v>
      </c>
      <c r="G100" s="198" t="s">
        <v>298</v>
      </c>
      <c r="H100" s="186">
        <f t="shared" si="4"/>
        <v>2</v>
      </c>
      <c r="I100" s="187" t="str">
        <f t="shared" si="5"/>
        <v/>
      </c>
    </row>
    <row r="101" spans="1:9" s="175" customFormat="1" ht="25.2">
      <c r="A101" s="175" t="s">
        <v>3967</v>
      </c>
      <c r="B101" s="180" t="s">
        <v>367</v>
      </c>
      <c r="C101" s="222" t="s">
        <v>420</v>
      </c>
      <c r="D101" s="197" t="s">
        <v>281</v>
      </c>
      <c r="E101" s="194">
        <v>3</v>
      </c>
      <c r="F101" s="184">
        <v>5</v>
      </c>
      <c r="G101" s="198" t="s">
        <v>298</v>
      </c>
      <c r="H101" s="186">
        <f t="shared" si="4"/>
        <v>2</v>
      </c>
      <c r="I101" s="187" t="str">
        <f t="shared" si="5"/>
        <v/>
      </c>
    </row>
    <row r="102" spans="1:9" s="175" customFormat="1" ht="16.8">
      <c r="A102" s="175" t="s">
        <v>3971</v>
      </c>
      <c r="B102" s="180" t="s">
        <v>368</v>
      </c>
      <c r="C102" s="222" t="s">
        <v>369</v>
      </c>
      <c r="D102" s="197" t="s">
        <v>281</v>
      </c>
      <c r="E102" s="194">
        <v>0</v>
      </c>
      <c r="F102" s="184">
        <v>265</v>
      </c>
      <c r="G102" s="185" t="s">
        <v>279</v>
      </c>
      <c r="H102" s="186">
        <f t="shared" si="4"/>
        <v>265</v>
      </c>
      <c r="I102" s="187" t="str">
        <f t="shared" si="5"/>
        <v/>
      </c>
    </row>
    <row r="103" spans="1:9" s="175" customFormat="1" ht="16.8">
      <c r="A103" s="175" t="s">
        <v>3968</v>
      </c>
      <c r="B103" s="180" t="s">
        <v>370</v>
      </c>
      <c r="C103" s="222" t="s">
        <v>421</v>
      </c>
      <c r="D103" s="197" t="s">
        <v>281</v>
      </c>
      <c r="E103" s="194">
        <v>0</v>
      </c>
      <c r="F103" s="184">
        <v>48</v>
      </c>
      <c r="G103" s="185" t="s">
        <v>279</v>
      </c>
      <c r="H103" s="186">
        <f t="shared" si="4"/>
        <v>48</v>
      </c>
      <c r="I103" s="187" t="str">
        <f t="shared" si="5"/>
        <v/>
      </c>
    </row>
    <row r="104" spans="1:9" s="175" customFormat="1" ht="16.8">
      <c r="B104" s="228"/>
      <c r="C104" s="229"/>
      <c r="D104" s="230"/>
      <c r="E104" s="231"/>
      <c r="F104" s="232"/>
      <c r="G104" s="233"/>
      <c r="H104" s="234" t="str">
        <f t="shared" si="4"/>
        <v/>
      </c>
      <c r="I104" s="235" t="str">
        <f t="shared" si="5"/>
        <v/>
      </c>
    </row>
    <row r="105" spans="1:9" ht="29.25" customHeight="1">
      <c r="B105" s="29"/>
      <c r="C105" s="27"/>
      <c r="D105" s="28"/>
      <c r="E105" s="28"/>
      <c r="F105" s="28"/>
      <c r="G105" s="28"/>
      <c r="H105" s="8"/>
    </row>
    <row r="106" spans="1:9" ht="9" customHeight="1">
      <c r="B106" s="30"/>
      <c r="C106" s="31"/>
      <c r="D106" s="30"/>
      <c r="E106" s="32"/>
      <c r="F106" s="32"/>
      <c r="G106" s="33"/>
    </row>
    <row r="107" spans="1:9" ht="27" customHeight="1" outlineLevel="1">
      <c r="B107" s="34"/>
      <c r="C107" s="35" t="s">
        <v>29</v>
      </c>
      <c r="F107" s="34"/>
    </row>
    <row r="108" spans="1:9" ht="24.9" customHeight="1" outlineLevel="1">
      <c r="B108" s="240" t="str">
        <f>ROW()-ROW($B$107)&amp;"."</f>
        <v>1.</v>
      </c>
      <c r="C108" s="34" t="str">
        <f t="shared" ref="C108:C117" si="6">C11</f>
        <v>Phùng Tiến Nga</v>
      </c>
      <c r="D108" s="23"/>
      <c r="E108" s="23"/>
      <c r="F108" s="37"/>
      <c r="G108" s="38"/>
    </row>
    <row r="109" spans="1:9" ht="24.9" customHeight="1" outlineLevel="1">
      <c r="B109" s="240" t="str">
        <f t="shared" ref="B109:B117" si="7">ROW()-ROW($B$107)&amp;"."</f>
        <v>2.</v>
      </c>
      <c r="C109" s="34" t="str">
        <f t="shared" si="6"/>
        <v>Trần Quang Hoàng</v>
      </c>
      <c r="D109" s="39"/>
      <c r="E109" s="39"/>
    </row>
    <row r="110" spans="1:9" ht="24.9" customHeight="1" outlineLevel="1">
      <c r="B110" s="240" t="str">
        <f t="shared" si="7"/>
        <v>3.</v>
      </c>
      <c r="C110" s="34" t="str">
        <f t="shared" si="6"/>
        <v>Lương Thành Viên</v>
      </c>
      <c r="D110" s="39"/>
      <c r="E110" s="39"/>
    </row>
    <row r="111" spans="1:9" ht="24.9" customHeight="1" outlineLevel="1">
      <c r="B111" s="240" t="str">
        <f t="shared" si="7"/>
        <v>4.</v>
      </c>
      <c r="C111" s="34" t="str">
        <f t="shared" si="6"/>
        <v>Trần Duy Khánh</v>
      </c>
      <c r="D111" s="39"/>
      <c r="E111" s="39"/>
    </row>
    <row r="112" spans="1:9" ht="24.9" customHeight="1" outlineLevel="1">
      <c r="B112" s="240" t="str">
        <f t="shared" si="7"/>
        <v>5.</v>
      </c>
      <c r="C112" s="34" t="str">
        <f t="shared" si="6"/>
        <v>Hồ Thị Túy Trúc</v>
      </c>
      <c r="D112" s="39"/>
      <c r="E112" s="39"/>
    </row>
    <row r="113" spans="2:7" ht="24.9" customHeight="1" outlineLevel="1">
      <c r="B113" s="240" t="str">
        <f t="shared" si="7"/>
        <v>6.</v>
      </c>
      <c r="C113" s="34" t="str">
        <f t="shared" si="6"/>
        <v>Thái Thọ Nhơn</v>
      </c>
      <c r="D113" s="39"/>
      <c r="E113" s="39"/>
      <c r="F113" s="242"/>
      <c r="G113" s="242"/>
    </row>
    <row r="114" spans="2:7" ht="20.100000000000001" customHeight="1">
      <c r="B114" s="240" t="str">
        <f t="shared" si="7"/>
        <v>7.</v>
      </c>
      <c r="C114" t="str">
        <f t="shared" si="6"/>
        <v>Lê Ngọc Thanh</v>
      </c>
    </row>
    <row r="115" spans="2:7" ht="20.100000000000001" customHeight="1">
      <c r="B115" s="240" t="str">
        <f t="shared" si="7"/>
        <v>8.</v>
      </c>
      <c r="C115" t="str">
        <f t="shared" si="6"/>
        <v>Nguyễn Văn Chí</v>
      </c>
    </row>
    <row r="116" spans="2:7" ht="20.100000000000001" customHeight="1">
      <c r="B116" s="240" t="str">
        <f t="shared" si="7"/>
        <v>9.</v>
      </c>
      <c r="C116" t="str">
        <f t="shared" si="6"/>
        <v>Trần Văn Hà</v>
      </c>
    </row>
    <row r="117" spans="2:7" ht="20.100000000000001" customHeight="1">
      <c r="B117" s="240" t="str">
        <f t="shared" si="7"/>
        <v>10.</v>
      </c>
      <c r="C117" t="str">
        <f t="shared" si="6"/>
        <v>Trần Kim Lâm</v>
      </c>
    </row>
  </sheetData>
  <autoFilter ref="B29:J104">
    <filterColumn colId="3" showButton="0"/>
  </autoFilter>
  <mergeCells count="6">
    <mergeCell ref="B5:I5"/>
    <mergeCell ref="B6:I6"/>
    <mergeCell ref="F113:G113"/>
    <mergeCell ref="B28:G28"/>
    <mergeCell ref="E29:F29"/>
    <mergeCell ref="B7:I7"/>
  </mergeCells>
  <conditionalFormatting sqref="I1:I4 I8:I28 I105:I1048576">
    <cfRule type="cellIs" dxfId="8" priority="4" operator="greaterThan">
      <formula>0</formula>
    </cfRule>
  </conditionalFormatting>
  <conditionalFormatting sqref="C105">
    <cfRule type="duplicateValues" dxfId="7" priority="6"/>
  </conditionalFormatting>
  <conditionalFormatting sqref="C31:C103">
    <cfRule type="duplicateValues" dxfId="6" priority="2"/>
  </conditionalFormatting>
  <conditionalFormatting sqref="A1:A1048576">
    <cfRule type="duplicateValues" dxfId="5" priority="1"/>
  </conditionalFormatting>
  <pageMargins left="0.89583333333333304" right="0.37" top="0.74803149606299202" bottom="0.17" header="0.31496062992126" footer="7.0000000000000007E-2"/>
  <pageSetup paperSize="9" orientation="portrait" blackAndWhite="1"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4:I48"/>
  <sheetViews>
    <sheetView view="pageBreakPreview" zoomScale="85" zoomScaleNormal="100" zoomScaleSheetLayoutView="85" workbookViewId="0">
      <selection activeCell="D12" sqref="D12"/>
    </sheetView>
  </sheetViews>
  <sheetFormatPr defaultColWidth="9" defaultRowHeight="20.100000000000001" customHeight="1" outlineLevelRow="1"/>
  <cols>
    <col min="1" max="1" width="9" style="10"/>
    <col min="2" max="2" width="6.6328125" customWidth="1"/>
    <col min="3" max="3" width="31.453125" customWidth="1"/>
    <col min="4" max="4" width="9.36328125" customWidth="1"/>
    <col min="5" max="6" width="8.81640625" customWidth="1"/>
    <col min="7" max="7" width="11.54296875" customWidth="1"/>
    <col min="8" max="8" width="8.453125" customWidth="1"/>
    <col min="9" max="257" width="8.90625" customWidth="1"/>
  </cols>
  <sheetData>
    <row r="4" spans="1:9" ht="26.25" customHeight="1"/>
    <row r="5" spans="1:9" ht="20.100000000000001" customHeight="1">
      <c r="B5" s="15" t="s">
        <v>38</v>
      </c>
      <c r="C5" s="16"/>
      <c r="D5" s="16"/>
      <c r="E5" s="16"/>
      <c r="F5" s="16"/>
      <c r="G5" s="16"/>
    </row>
    <row r="6" spans="1:9" ht="20.100000000000001" customHeight="1">
      <c r="B6" s="17" t="s">
        <v>39</v>
      </c>
      <c r="C6" s="16"/>
      <c r="D6" s="16"/>
      <c r="E6" s="16"/>
      <c r="F6" s="16"/>
      <c r="G6" s="16"/>
    </row>
    <row r="7" spans="1:9" ht="20.100000000000001" hidden="1" customHeight="1" outlineLevel="1">
      <c r="A7"/>
      <c r="B7" s="248" t="s">
        <v>40</v>
      </c>
      <c r="C7" s="248"/>
      <c r="D7" s="248"/>
      <c r="E7" s="248"/>
      <c r="F7" s="248"/>
      <c r="G7" s="248"/>
    </row>
    <row r="8" spans="1:9" s="18" customFormat="1" ht="38.25" customHeight="1" collapsed="1">
      <c r="A8" s="8"/>
      <c r="B8" s="247" t="str">
        <f>"         Công Trình: "&amp;INFO!B2&amp;"."</f>
        <v xml:space="preserve">         Công Trình: CÔNG TY TNHH
THU LỘC.</v>
      </c>
      <c r="C8" s="247"/>
      <c r="D8" s="247"/>
      <c r="E8" s="247"/>
      <c r="F8" s="247"/>
      <c r="G8" s="247"/>
      <c r="H8" s="247"/>
      <c r="I8" s="247"/>
    </row>
    <row r="9" spans="1:9" s="18" customFormat="1" ht="24" customHeight="1">
      <c r="A9" s="8"/>
      <c r="B9" s="5" t="e">
        <f>"Nguồn Vốn: "&amp;INFO!#REF!&amp;"."</f>
        <v>#REF!</v>
      </c>
    </row>
    <row r="10" spans="1:9" s="18" customFormat="1" ht="21" customHeight="1">
      <c r="A10" s="8"/>
      <c r="B10" s="249" t="s">
        <v>41</v>
      </c>
      <c r="C10" s="250"/>
      <c r="D10" s="250"/>
      <c r="E10" s="250"/>
      <c r="F10" s="250"/>
      <c r="G10" s="250"/>
    </row>
    <row r="11" spans="1:9" ht="20.100000000000001" customHeight="1">
      <c r="B11" s="21" t="s">
        <v>10</v>
      </c>
      <c r="C11" s="4" t="s">
        <v>11</v>
      </c>
      <c r="D11" s="4" t="s">
        <v>12</v>
      </c>
      <c r="F11" s="22"/>
    </row>
    <row r="12" spans="1:9" ht="20.100000000000001" customHeight="1">
      <c r="B12" s="21" t="s">
        <v>10</v>
      </c>
      <c r="C12" s="4" t="s">
        <v>2</v>
      </c>
      <c r="D12" s="4" t="s">
        <v>42</v>
      </c>
      <c r="F12" s="22"/>
    </row>
    <row r="13" spans="1:9" ht="20.100000000000001" customHeight="1">
      <c r="B13" s="21" t="s">
        <v>10</v>
      </c>
      <c r="C13" s="4" t="s">
        <v>15</v>
      </c>
      <c r="D13" s="4" t="s">
        <v>16</v>
      </c>
    </row>
    <row r="14" spans="1:9" ht="20.100000000000001" customHeight="1">
      <c r="B14" s="21" t="s">
        <v>10</v>
      </c>
      <c r="C14" s="4" t="s">
        <v>17</v>
      </c>
      <c r="D14" s="4" t="s">
        <v>18</v>
      </c>
      <c r="F14" s="22"/>
      <c r="G14" s="23"/>
    </row>
    <row r="15" spans="1:9" ht="20.100000000000001" customHeight="1">
      <c r="B15" s="21" t="s">
        <v>10</v>
      </c>
      <c r="C15" s="4" t="s">
        <v>19</v>
      </c>
      <c r="D15" s="4" t="s">
        <v>20</v>
      </c>
      <c r="F15" s="22"/>
      <c r="G15" s="23"/>
    </row>
    <row r="16" spans="1:9" ht="20.100000000000001" customHeight="1">
      <c r="B16" s="21" t="s">
        <v>10</v>
      </c>
      <c r="C16" s="4" t="e">
        <f>INFO!#REF!</f>
        <v>#REF!</v>
      </c>
      <c r="D16" s="4" t="s">
        <v>21</v>
      </c>
      <c r="G16" s="24"/>
    </row>
    <row r="17" spans="1:8" ht="20.100000000000001" customHeight="1">
      <c r="B17" s="21" t="s">
        <v>10</v>
      </c>
      <c r="C17" s="18" t="s">
        <v>1</v>
      </c>
      <c r="D17" s="4" t="str">
        <f>"Chức vụ: "&amp;"KTV.QLKT."</f>
        <v>Chức vụ: KTV.QLKT.</v>
      </c>
      <c r="F17" s="22"/>
      <c r="G17" s="25"/>
    </row>
    <row r="18" spans="1:8" ht="27" customHeight="1">
      <c r="B18" s="251" t="s">
        <v>43</v>
      </c>
      <c r="C18" s="252"/>
      <c r="D18" s="252"/>
      <c r="E18" s="252"/>
      <c r="F18" s="252"/>
      <c r="G18" s="252"/>
    </row>
    <row r="19" spans="1:8" ht="29.25" customHeight="1">
      <c r="B19" s="40" t="s">
        <v>0</v>
      </c>
      <c r="C19" s="41" t="s">
        <v>44</v>
      </c>
      <c r="D19" s="40" t="s">
        <v>45</v>
      </c>
      <c r="E19" s="40" t="s">
        <v>24</v>
      </c>
      <c r="F19" s="42" t="s">
        <v>46</v>
      </c>
      <c r="G19" s="43" t="s">
        <v>25</v>
      </c>
      <c r="H19" s="44" t="s">
        <v>28</v>
      </c>
    </row>
    <row r="20" spans="1:8" ht="25.5" hidden="1" customHeight="1">
      <c r="B20" s="40"/>
      <c r="C20" s="45">
        <v>3</v>
      </c>
      <c r="D20" s="46">
        <v>4</v>
      </c>
      <c r="E20" s="40">
        <v>7</v>
      </c>
      <c r="F20" s="42">
        <v>8</v>
      </c>
      <c r="G20" s="43">
        <v>12</v>
      </c>
    </row>
    <row r="21" spans="1:8" ht="20.100000000000001" hidden="1" customHeight="1">
      <c r="A21" s="10">
        <v>1</v>
      </c>
      <c r="B21" s="47" t="e">
        <f>SUM($H$21:H21)</f>
        <v>#NAME?</v>
      </c>
      <c r="C21" s="48" t="e">
        <f t="shared" ref="C21:G40" si="0">VLOOKUP($A21,thuhoi,C$20,0)</f>
        <v>#NAME?</v>
      </c>
      <c r="D21" s="49" t="e">
        <f t="shared" si="0"/>
        <v>#NAME?</v>
      </c>
      <c r="E21" s="49">
        <v>1</v>
      </c>
      <c r="F21" s="49" t="e">
        <f t="shared" si="0"/>
        <v>#NAME?</v>
      </c>
      <c r="G21" s="49" t="e">
        <f t="shared" si="0"/>
        <v>#NAME?</v>
      </c>
      <c r="H21" s="50" t="e">
        <f>IF(F21=1,0,1)</f>
        <v>#NAME?</v>
      </c>
    </row>
    <row r="22" spans="1:8" ht="20.100000000000001" hidden="1" customHeight="1">
      <c r="A22" s="10">
        <v>2</v>
      </c>
      <c r="B22" s="47" t="e">
        <f>SUM($H$21:H22)</f>
        <v>#NAME?</v>
      </c>
      <c r="C22" s="48" t="e">
        <f t="shared" si="0"/>
        <v>#NAME?</v>
      </c>
      <c r="D22" s="49" t="e">
        <f t="shared" si="0"/>
        <v>#NAME?</v>
      </c>
      <c r="E22" s="49">
        <v>1</v>
      </c>
      <c r="F22" s="49" t="e">
        <f t="shared" si="0"/>
        <v>#NAME?</v>
      </c>
      <c r="G22" s="49" t="e">
        <f t="shared" si="0"/>
        <v>#NAME?</v>
      </c>
      <c r="H22" s="50" t="e">
        <f t="shared" ref="H22:H40" si="1">IF(F22=1,0,1)</f>
        <v>#NAME?</v>
      </c>
    </row>
    <row r="23" spans="1:8" ht="20.100000000000001" hidden="1" customHeight="1">
      <c r="A23" s="10">
        <v>3</v>
      </c>
      <c r="B23" s="47" t="e">
        <f>SUM($H$21:H23)</f>
        <v>#NAME?</v>
      </c>
      <c r="C23" s="48" t="e">
        <f t="shared" si="0"/>
        <v>#NAME?</v>
      </c>
      <c r="D23" s="49" t="e">
        <f t="shared" si="0"/>
        <v>#NAME?</v>
      </c>
      <c r="E23" s="49">
        <v>1</v>
      </c>
      <c r="F23" s="49" t="e">
        <f t="shared" si="0"/>
        <v>#NAME?</v>
      </c>
      <c r="G23" s="49" t="e">
        <f t="shared" si="0"/>
        <v>#NAME?</v>
      </c>
      <c r="H23" s="50" t="e">
        <f t="shared" si="1"/>
        <v>#NAME?</v>
      </c>
    </row>
    <row r="24" spans="1:8" ht="20.100000000000001" hidden="1" customHeight="1">
      <c r="A24" s="10">
        <v>4</v>
      </c>
      <c r="B24" s="47" t="e">
        <f>SUM($H$21:H24)</f>
        <v>#NAME?</v>
      </c>
      <c r="C24" s="48" t="e">
        <f t="shared" si="0"/>
        <v>#NAME?</v>
      </c>
      <c r="D24" s="49" t="e">
        <f t="shared" si="0"/>
        <v>#NAME?</v>
      </c>
      <c r="E24" s="49">
        <v>1</v>
      </c>
      <c r="F24" s="49" t="e">
        <f t="shared" si="0"/>
        <v>#NAME?</v>
      </c>
      <c r="G24" s="49" t="e">
        <f t="shared" si="0"/>
        <v>#NAME?</v>
      </c>
      <c r="H24" s="50" t="e">
        <f t="shared" si="1"/>
        <v>#NAME?</v>
      </c>
    </row>
    <row r="25" spans="1:8" ht="20.100000000000001" hidden="1" customHeight="1">
      <c r="A25" s="10">
        <v>5</v>
      </c>
      <c r="B25" s="47" t="e">
        <f>SUM($H$21:H25)</f>
        <v>#NAME?</v>
      </c>
      <c r="C25" s="48" t="e">
        <f t="shared" si="0"/>
        <v>#NAME?</v>
      </c>
      <c r="D25" s="49" t="e">
        <f t="shared" si="0"/>
        <v>#NAME?</v>
      </c>
      <c r="E25" s="49">
        <v>1</v>
      </c>
      <c r="F25" s="49" t="e">
        <f t="shared" si="0"/>
        <v>#NAME?</v>
      </c>
      <c r="G25" s="49" t="e">
        <f t="shared" si="0"/>
        <v>#NAME?</v>
      </c>
      <c r="H25" s="50" t="e">
        <f t="shared" si="1"/>
        <v>#NAME?</v>
      </c>
    </row>
    <row r="26" spans="1:8" ht="29.25" hidden="1" customHeight="1">
      <c r="A26" s="10">
        <v>6</v>
      </c>
      <c r="B26" s="47" t="e">
        <f>SUM($H$21:H26)</f>
        <v>#NAME?</v>
      </c>
      <c r="C26" s="48" t="e">
        <f t="shared" si="0"/>
        <v>#NAME?</v>
      </c>
      <c r="D26" s="49" t="e">
        <f t="shared" si="0"/>
        <v>#NAME?</v>
      </c>
      <c r="E26" s="49">
        <v>1</v>
      </c>
      <c r="F26" s="49" t="e">
        <f t="shared" si="0"/>
        <v>#NAME?</v>
      </c>
      <c r="G26" s="49" t="e">
        <f t="shared" si="0"/>
        <v>#NAME?</v>
      </c>
      <c r="H26" s="50" t="e">
        <f t="shared" si="1"/>
        <v>#NAME?</v>
      </c>
    </row>
    <row r="27" spans="1:8" ht="29.25" hidden="1" customHeight="1">
      <c r="A27" s="10">
        <v>7</v>
      </c>
      <c r="B27" s="47" t="e">
        <f>SUM($H$21:H27)</f>
        <v>#NAME?</v>
      </c>
      <c r="C27" s="48" t="e">
        <f t="shared" si="0"/>
        <v>#NAME?</v>
      </c>
      <c r="D27" s="49" t="e">
        <f t="shared" si="0"/>
        <v>#NAME?</v>
      </c>
      <c r="E27" s="49">
        <v>1</v>
      </c>
      <c r="F27" s="49" t="e">
        <f t="shared" si="0"/>
        <v>#NAME?</v>
      </c>
      <c r="G27" s="49" t="e">
        <f t="shared" si="0"/>
        <v>#NAME?</v>
      </c>
      <c r="H27" s="50" t="e">
        <f t="shared" si="1"/>
        <v>#NAME?</v>
      </c>
    </row>
    <row r="28" spans="1:8" ht="29.25" customHeight="1">
      <c r="A28" s="10">
        <v>8</v>
      </c>
      <c r="B28" s="47" t="e">
        <f>SUM($H$21:H28)</f>
        <v>#NAME?</v>
      </c>
      <c r="C28" s="48" t="e">
        <f t="shared" si="0"/>
        <v>#NAME?</v>
      </c>
      <c r="D28" s="49" t="e">
        <f t="shared" si="0"/>
        <v>#NAME?</v>
      </c>
      <c r="E28" s="49">
        <v>1</v>
      </c>
      <c r="F28" s="49" t="e">
        <f t="shared" si="0"/>
        <v>#NAME?</v>
      </c>
      <c r="G28" s="49" t="e">
        <f t="shared" si="0"/>
        <v>#NAME?</v>
      </c>
      <c r="H28" s="50" t="e">
        <f t="shared" si="1"/>
        <v>#NAME?</v>
      </c>
    </row>
    <row r="29" spans="1:8" ht="29.25" hidden="1" customHeight="1">
      <c r="A29" s="10">
        <v>9</v>
      </c>
      <c r="B29" s="47" t="e">
        <f>SUM($H$21:H29)</f>
        <v>#NAME?</v>
      </c>
      <c r="C29" s="48" t="e">
        <f t="shared" si="0"/>
        <v>#NAME?</v>
      </c>
      <c r="D29" s="49" t="e">
        <f t="shared" si="0"/>
        <v>#NAME?</v>
      </c>
      <c r="E29" s="49">
        <v>1</v>
      </c>
      <c r="F29" s="49" t="e">
        <f t="shared" si="0"/>
        <v>#NAME?</v>
      </c>
      <c r="G29" s="49" t="e">
        <f t="shared" si="0"/>
        <v>#NAME?</v>
      </c>
      <c r="H29" s="50" t="e">
        <f t="shared" si="1"/>
        <v>#NAME?</v>
      </c>
    </row>
    <row r="30" spans="1:8" ht="29.25" hidden="1" customHeight="1">
      <c r="A30" s="10">
        <v>10</v>
      </c>
      <c r="B30" s="47" t="e">
        <f>SUM($H$21:H30)</f>
        <v>#NAME?</v>
      </c>
      <c r="C30" s="48" t="e">
        <f t="shared" si="0"/>
        <v>#NAME?</v>
      </c>
      <c r="D30" s="49" t="e">
        <f t="shared" si="0"/>
        <v>#NAME?</v>
      </c>
      <c r="E30" s="49">
        <v>1</v>
      </c>
      <c r="F30" s="49" t="e">
        <f t="shared" si="0"/>
        <v>#NAME?</v>
      </c>
      <c r="G30" s="49" t="e">
        <f t="shared" si="0"/>
        <v>#NAME?</v>
      </c>
      <c r="H30" s="50" t="e">
        <f t="shared" si="1"/>
        <v>#NAME?</v>
      </c>
    </row>
    <row r="31" spans="1:8" ht="29.25" hidden="1" customHeight="1">
      <c r="A31" s="10">
        <v>11</v>
      </c>
      <c r="B31" s="47" t="e">
        <f>SUM($H$21:H31)</f>
        <v>#NAME?</v>
      </c>
      <c r="C31" s="48" t="e">
        <f t="shared" si="0"/>
        <v>#NAME?</v>
      </c>
      <c r="D31" s="49" t="e">
        <f t="shared" si="0"/>
        <v>#NAME?</v>
      </c>
      <c r="E31" s="49">
        <v>1</v>
      </c>
      <c r="F31" s="49" t="e">
        <f t="shared" si="0"/>
        <v>#NAME?</v>
      </c>
      <c r="G31" s="49" t="e">
        <f t="shared" si="0"/>
        <v>#NAME?</v>
      </c>
      <c r="H31" s="50" t="e">
        <f t="shared" si="1"/>
        <v>#NAME?</v>
      </c>
    </row>
    <row r="32" spans="1:8" ht="29.25" hidden="1" customHeight="1">
      <c r="A32" s="10">
        <v>12</v>
      </c>
      <c r="B32" s="47" t="e">
        <f>SUM($H$21:H32)</f>
        <v>#NAME?</v>
      </c>
      <c r="C32" s="48" t="e">
        <f t="shared" si="0"/>
        <v>#NAME?</v>
      </c>
      <c r="D32" s="49" t="e">
        <f t="shared" si="0"/>
        <v>#NAME?</v>
      </c>
      <c r="E32" s="49">
        <v>1</v>
      </c>
      <c r="F32" s="49" t="e">
        <f t="shared" si="0"/>
        <v>#NAME?</v>
      </c>
      <c r="G32" s="49" t="e">
        <f t="shared" si="0"/>
        <v>#NAME?</v>
      </c>
      <c r="H32" s="50" t="e">
        <f t="shared" si="1"/>
        <v>#NAME?</v>
      </c>
    </row>
    <row r="33" spans="1:8" ht="29.25" hidden="1" customHeight="1">
      <c r="A33" s="10">
        <v>13</v>
      </c>
      <c r="B33" s="47" t="e">
        <f>SUM($H$21:H33)</f>
        <v>#NAME?</v>
      </c>
      <c r="C33" s="48" t="e">
        <f t="shared" si="0"/>
        <v>#NAME?</v>
      </c>
      <c r="D33" s="49" t="e">
        <f t="shared" si="0"/>
        <v>#NAME?</v>
      </c>
      <c r="E33" s="49">
        <v>1</v>
      </c>
      <c r="F33" s="49" t="e">
        <f t="shared" si="0"/>
        <v>#NAME?</v>
      </c>
      <c r="G33" s="49" t="e">
        <f t="shared" si="0"/>
        <v>#NAME?</v>
      </c>
      <c r="H33" s="50" t="e">
        <f t="shared" si="1"/>
        <v>#NAME?</v>
      </c>
    </row>
    <row r="34" spans="1:8" ht="29.25" hidden="1" customHeight="1">
      <c r="A34" s="10">
        <v>14</v>
      </c>
      <c r="B34" s="47" t="e">
        <f>SUM($H$21:H34)</f>
        <v>#NAME?</v>
      </c>
      <c r="C34" s="48" t="e">
        <f t="shared" si="0"/>
        <v>#NAME?</v>
      </c>
      <c r="D34" s="49" t="e">
        <f t="shared" si="0"/>
        <v>#NAME?</v>
      </c>
      <c r="E34" s="49">
        <v>1</v>
      </c>
      <c r="F34" s="49" t="e">
        <f t="shared" si="0"/>
        <v>#NAME?</v>
      </c>
      <c r="G34" s="49" t="e">
        <f t="shared" si="0"/>
        <v>#NAME?</v>
      </c>
      <c r="H34" s="50" t="e">
        <f t="shared" si="1"/>
        <v>#NAME?</v>
      </c>
    </row>
    <row r="35" spans="1:8" ht="29.25" hidden="1" customHeight="1">
      <c r="A35" s="10">
        <v>15</v>
      </c>
      <c r="B35" s="47" t="e">
        <f>SUM($H$21:H35)</f>
        <v>#NAME?</v>
      </c>
      <c r="C35" s="48" t="e">
        <f t="shared" si="0"/>
        <v>#NAME?</v>
      </c>
      <c r="D35" s="49" t="e">
        <f t="shared" si="0"/>
        <v>#NAME?</v>
      </c>
      <c r="E35" s="49">
        <v>1</v>
      </c>
      <c r="F35" s="49" t="e">
        <f t="shared" si="0"/>
        <v>#NAME?</v>
      </c>
      <c r="G35" s="49" t="e">
        <f t="shared" si="0"/>
        <v>#NAME?</v>
      </c>
      <c r="H35" s="50" t="e">
        <f t="shared" si="1"/>
        <v>#NAME?</v>
      </c>
    </row>
    <row r="36" spans="1:8" ht="29.25" hidden="1" customHeight="1">
      <c r="A36" s="10">
        <v>16</v>
      </c>
      <c r="B36" s="47" t="e">
        <f>SUM($H$21:H36)</f>
        <v>#NAME?</v>
      </c>
      <c r="C36" s="48" t="e">
        <f t="shared" si="0"/>
        <v>#NAME?</v>
      </c>
      <c r="D36" s="49" t="e">
        <f t="shared" si="0"/>
        <v>#NAME?</v>
      </c>
      <c r="E36" s="49">
        <v>1</v>
      </c>
      <c r="F36" s="49" t="e">
        <f t="shared" si="0"/>
        <v>#NAME?</v>
      </c>
      <c r="G36" s="49" t="e">
        <f t="shared" si="0"/>
        <v>#NAME?</v>
      </c>
      <c r="H36" s="50" t="e">
        <f t="shared" si="1"/>
        <v>#NAME?</v>
      </c>
    </row>
    <row r="37" spans="1:8" ht="29.25" hidden="1" customHeight="1">
      <c r="A37" s="10">
        <v>17</v>
      </c>
      <c r="B37" s="47" t="e">
        <f>SUM($H$21:H37)</f>
        <v>#NAME?</v>
      </c>
      <c r="C37" s="48" t="e">
        <f t="shared" si="0"/>
        <v>#NAME?</v>
      </c>
      <c r="D37" s="49" t="e">
        <f t="shared" si="0"/>
        <v>#NAME?</v>
      </c>
      <c r="E37" s="49">
        <v>1</v>
      </c>
      <c r="F37" s="49" t="e">
        <f t="shared" si="0"/>
        <v>#NAME?</v>
      </c>
      <c r="G37" s="49" t="e">
        <f t="shared" si="0"/>
        <v>#NAME?</v>
      </c>
      <c r="H37" s="50" t="e">
        <f t="shared" si="1"/>
        <v>#NAME?</v>
      </c>
    </row>
    <row r="38" spans="1:8" ht="29.25" hidden="1" customHeight="1">
      <c r="A38" s="10">
        <v>18</v>
      </c>
      <c r="B38" s="47" t="e">
        <f>SUM($H$21:H38)</f>
        <v>#NAME?</v>
      </c>
      <c r="C38" s="48" t="e">
        <f t="shared" si="0"/>
        <v>#NAME?</v>
      </c>
      <c r="D38" s="49" t="e">
        <f t="shared" si="0"/>
        <v>#NAME?</v>
      </c>
      <c r="E38" s="49">
        <v>1</v>
      </c>
      <c r="F38" s="49" t="e">
        <f t="shared" si="0"/>
        <v>#NAME?</v>
      </c>
      <c r="G38" s="49" t="e">
        <f t="shared" si="0"/>
        <v>#NAME?</v>
      </c>
      <c r="H38" s="50" t="e">
        <f t="shared" si="1"/>
        <v>#NAME?</v>
      </c>
    </row>
    <row r="39" spans="1:8" ht="29.25" hidden="1" customHeight="1">
      <c r="A39" s="10">
        <v>19</v>
      </c>
      <c r="B39" s="47" t="e">
        <f>SUM($H$21:H39)</f>
        <v>#NAME?</v>
      </c>
      <c r="C39" s="48" t="e">
        <f t="shared" si="0"/>
        <v>#NAME?</v>
      </c>
      <c r="D39" s="49" t="e">
        <f t="shared" si="0"/>
        <v>#NAME?</v>
      </c>
      <c r="E39" s="49">
        <v>1</v>
      </c>
      <c r="F39" s="49" t="e">
        <f t="shared" si="0"/>
        <v>#NAME?</v>
      </c>
      <c r="G39" s="49" t="e">
        <f t="shared" si="0"/>
        <v>#NAME?</v>
      </c>
      <c r="H39" s="50" t="e">
        <f t="shared" si="1"/>
        <v>#NAME?</v>
      </c>
    </row>
    <row r="40" spans="1:8" ht="29.25" hidden="1" customHeight="1">
      <c r="A40" s="10">
        <v>20</v>
      </c>
      <c r="B40" s="47" t="e">
        <f>SUM($H$21:H40)</f>
        <v>#NAME?</v>
      </c>
      <c r="C40" s="48" t="e">
        <f t="shared" si="0"/>
        <v>#NAME?</v>
      </c>
      <c r="D40" s="49" t="e">
        <f t="shared" si="0"/>
        <v>#NAME?</v>
      </c>
      <c r="E40" s="49">
        <v>1</v>
      </c>
      <c r="F40" s="49" t="e">
        <f t="shared" si="0"/>
        <v>#NAME?</v>
      </c>
      <c r="G40" s="49" t="e">
        <f t="shared" si="0"/>
        <v>#NAME?</v>
      </c>
      <c r="H40" s="50" t="e">
        <f t="shared" si="1"/>
        <v>#NAME?</v>
      </c>
    </row>
    <row r="41" spans="1:8" ht="9" customHeight="1">
      <c r="B41" s="30"/>
      <c r="C41" s="31"/>
      <c r="D41" s="30"/>
      <c r="E41" s="32"/>
      <c r="F41" s="32"/>
      <c r="G41" s="33"/>
    </row>
    <row r="42" spans="1:8" ht="27" customHeight="1">
      <c r="B42" s="34"/>
      <c r="C42" s="35" t="s">
        <v>29</v>
      </c>
      <c r="F42" s="34"/>
    </row>
    <row r="43" spans="1:8" ht="28.35" customHeight="1">
      <c r="B43" s="36" t="s">
        <v>30</v>
      </c>
      <c r="C43" s="34" t="str">
        <f t="shared" ref="C43:C48" si="2">C12</f>
        <v>Trần Quang Hoàng</v>
      </c>
      <c r="D43" s="23"/>
      <c r="E43" s="23"/>
      <c r="F43" s="253" t="s">
        <v>31</v>
      </c>
      <c r="G43" s="253"/>
    </row>
    <row r="44" spans="1:8" ht="28.35" customHeight="1">
      <c r="B44" s="36" t="s">
        <v>32</v>
      </c>
      <c r="C44" s="34" t="str">
        <f t="shared" si="2"/>
        <v>Nguyễn Đình Thuận</v>
      </c>
      <c r="D44" s="39"/>
      <c r="E44" s="39"/>
    </row>
    <row r="45" spans="1:8" ht="28.35" customHeight="1">
      <c r="B45" s="36" t="s">
        <v>33</v>
      </c>
      <c r="C45" s="34" t="str">
        <f t="shared" si="2"/>
        <v>Lương Thành Viên</v>
      </c>
      <c r="D45" s="39"/>
      <c r="E45" s="39"/>
    </row>
    <row r="46" spans="1:8" ht="28.35" customHeight="1">
      <c r="B46" s="36" t="s">
        <v>34</v>
      </c>
      <c r="C46" s="34" t="str">
        <f t="shared" si="2"/>
        <v>Thái Thọ Nhơn</v>
      </c>
      <c r="D46" s="39"/>
      <c r="E46" s="39"/>
    </row>
    <row r="47" spans="1:8" ht="28.35" customHeight="1">
      <c r="B47" s="36" t="s">
        <v>35</v>
      </c>
      <c r="C47" s="34" t="e">
        <f t="shared" si="2"/>
        <v>#REF!</v>
      </c>
      <c r="D47" s="39"/>
      <c r="E47" s="39"/>
    </row>
    <row r="48" spans="1:8" ht="28.35" customHeight="1">
      <c r="B48" s="36" t="s">
        <v>36</v>
      </c>
      <c r="C48" s="34" t="str">
        <f t="shared" si="2"/>
        <v>Trần Đại Thức</v>
      </c>
      <c r="D48" s="39"/>
      <c r="E48" s="39"/>
      <c r="F48" s="242" t="s">
        <v>37</v>
      </c>
      <c r="G48" s="242"/>
    </row>
  </sheetData>
  <autoFilter ref="B19:H40">
    <filterColumn colId="6">
      <filters>
        <filter val="1"/>
      </filters>
    </filterColumn>
  </autoFilter>
  <mergeCells count="6">
    <mergeCell ref="F48:G48"/>
    <mergeCell ref="B7:G7"/>
    <mergeCell ref="B8:I8"/>
    <mergeCell ref="B10:G10"/>
    <mergeCell ref="B18:G18"/>
    <mergeCell ref="F43:G43"/>
  </mergeCells>
  <conditionalFormatting sqref="C19:C20">
    <cfRule type="duplicateValues" dxfId="4" priority="2"/>
  </conditionalFormatting>
  <conditionalFormatting sqref="I7">
    <cfRule type="cellIs" dxfId="3" priority="1" operator="greaterThan">
      <formula>0</formula>
    </cfRule>
  </conditionalFormatting>
  <pageMargins left="0.89583333333333304" right="0.37" top="0.74803149606299202" bottom="0.74803149606299202" header="0.31496062992126" footer="0.31496062992126"/>
  <pageSetup paperSize="9" orientation="portrait" blackAndWhite="1"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4:I53"/>
  <sheetViews>
    <sheetView view="pageBreakPreview" topLeftCell="A13" zoomScaleNormal="100" zoomScaleSheetLayoutView="100" workbookViewId="0">
      <selection activeCell="G22" sqref="G22"/>
    </sheetView>
  </sheetViews>
  <sheetFormatPr defaultColWidth="9" defaultRowHeight="20.100000000000001" customHeight="1" outlineLevelRow="1"/>
  <cols>
    <col min="2" max="2" width="5.36328125" customWidth="1"/>
    <col min="3" max="3" width="27.453125" customWidth="1"/>
    <col min="4" max="4" width="6.81640625" customWidth="1"/>
    <col min="5" max="5" width="7.1796875" customWidth="1"/>
    <col min="6" max="6" width="6.453125" customWidth="1"/>
    <col min="7" max="7" width="11" customWidth="1"/>
    <col min="8" max="8" width="12.81640625" customWidth="1"/>
    <col min="9" max="9" width="10.54296875" customWidth="1"/>
    <col min="10" max="257" width="8.90625" customWidth="1"/>
  </cols>
  <sheetData>
    <row r="4" spans="2:9" ht="28.5" customHeight="1"/>
    <row r="5" spans="2:9" ht="18" customHeight="1">
      <c r="B5" s="15" t="s">
        <v>47</v>
      </c>
      <c r="C5" s="16"/>
      <c r="D5" s="16"/>
      <c r="E5" s="16"/>
      <c r="F5" s="16"/>
      <c r="G5" s="16"/>
      <c r="H5" s="16"/>
    </row>
    <row r="6" spans="2:9" ht="18" customHeight="1">
      <c r="B6" s="17" t="s">
        <v>48</v>
      </c>
      <c r="C6" s="16"/>
      <c r="D6" s="16"/>
      <c r="E6" s="16"/>
      <c r="F6" s="16"/>
      <c r="G6" s="16"/>
      <c r="H6" s="16"/>
    </row>
    <row r="7" spans="2:9" ht="18" customHeight="1" outlineLevel="1">
      <c r="B7" s="248" t="s">
        <v>8</v>
      </c>
      <c r="C7" s="248"/>
      <c r="D7" s="248"/>
      <c r="E7" s="248"/>
      <c r="F7" s="248"/>
      <c r="G7" s="248"/>
      <c r="H7" s="248"/>
    </row>
    <row r="8" spans="2:9" s="18" customFormat="1" ht="35.25" customHeight="1">
      <c r="B8" s="254" t="str">
        <f>"Công trình: "&amp;INFO!B2&amp;"."</f>
        <v>Công trình: CÔNG TY TNHH
THU LỘC.</v>
      </c>
      <c r="C8" s="254"/>
      <c r="D8" s="254"/>
      <c r="E8" s="254"/>
      <c r="F8" s="254"/>
      <c r="G8" s="254"/>
      <c r="H8" s="254"/>
    </row>
    <row r="9" spans="2:9" s="18" customFormat="1" ht="21.75" customHeight="1">
      <c r="B9" s="5" t="e">
        <f>"Nguồn Vốn: "&amp;INFO!#REF!&amp;"."</f>
        <v>#REF!</v>
      </c>
    </row>
    <row r="10" spans="2:9" s="18" customFormat="1" ht="44.25" customHeight="1">
      <c r="B10" s="243" t="str">
        <f>"             Hôm nay, ngày       tháng      năm 2017 tại văn phòng Điện lực Xuân Lộc. Đã tiến hành đánh giá sau khi phân loại thử nghiệm thiết bị vật tư thu hồi từ công trình trên."</f>
        <v xml:space="preserve">             Hôm nay, ngày       tháng      năm 2017 tại văn phòng Điện lực Xuân Lộc. Đã tiến hành đánh giá sau khi phân loại thử nghiệm thiết bị vật tư thu hồi từ công trình trên.</v>
      </c>
      <c r="C10" s="243"/>
      <c r="D10" s="243"/>
      <c r="E10" s="243"/>
      <c r="F10" s="243"/>
      <c r="G10" s="243"/>
      <c r="H10" s="243"/>
      <c r="I10" s="51"/>
    </row>
    <row r="11" spans="2:9" s="18" customFormat="1" ht="24" customHeight="1">
      <c r="B11" s="20" t="s">
        <v>49</v>
      </c>
    </row>
    <row r="12" spans="2:9" ht="24.9" customHeight="1">
      <c r="B12" s="52" t="s">
        <v>10</v>
      </c>
      <c r="C12" s="4" t="s">
        <v>11</v>
      </c>
      <c r="D12" s="4"/>
      <c r="E12" s="4" t="s">
        <v>12</v>
      </c>
      <c r="F12" s="4"/>
      <c r="G12" s="18"/>
      <c r="H12" s="18"/>
    </row>
    <row r="13" spans="2:9" ht="24.9" customHeight="1">
      <c r="B13" s="52" t="s">
        <v>10</v>
      </c>
      <c r="C13" s="4" t="s">
        <v>2</v>
      </c>
      <c r="D13" s="4" t="s">
        <v>13</v>
      </c>
      <c r="E13" s="4" t="s">
        <v>14</v>
      </c>
      <c r="F13" s="4"/>
      <c r="G13" s="18"/>
      <c r="H13" s="18"/>
    </row>
    <row r="14" spans="2:9" ht="24.9" customHeight="1">
      <c r="B14" s="52" t="s">
        <v>10</v>
      </c>
      <c r="C14" s="4" t="s">
        <v>15</v>
      </c>
      <c r="D14" s="4"/>
      <c r="E14" s="4" t="s">
        <v>16</v>
      </c>
      <c r="F14" s="18"/>
      <c r="G14" s="18"/>
      <c r="H14" s="18"/>
    </row>
    <row r="15" spans="2:9" ht="24.9" customHeight="1">
      <c r="B15" s="52" t="s">
        <v>10</v>
      </c>
      <c r="C15" s="4" t="s">
        <v>17</v>
      </c>
      <c r="D15" s="4"/>
      <c r="E15" s="4" t="s">
        <v>18</v>
      </c>
      <c r="F15" s="4"/>
      <c r="G15" s="53"/>
      <c r="H15" s="18"/>
    </row>
    <row r="16" spans="2:9" s="18" customFormat="1" ht="24.9" customHeight="1">
      <c r="B16" s="20" t="s">
        <v>50</v>
      </c>
    </row>
    <row r="17" spans="1:9" ht="24.9" customHeight="1">
      <c r="B17" s="52" t="s">
        <v>10</v>
      </c>
      <c r="C17" s="4" t="s">
        <v>19</v>
      </c>
      <c r="D17" s="4"/>
      <c r="E17" s="4" t="s">
        <v>20</v>
      </c>
      <c r="F17" s="4"/>
      <c r="G17" s="53"/>
      <c r="H17" s="18"/>
    </row>
    <row r="18" spans="1:9" ht="24.9" customHeight="1">
      <c r="B18" s="52" t="s">
        <v>10</v>
      </c>
      <c r="C18" s="4" t="e">
        <f>INFO!#REF!</f>
        <v>#REF!</v>
      </c>
      <c r="D18" s="4"/>
      <c r="E18" s="4" t="s">
        <v>21</v>
      </c>
      <c r="F18" s="18"/>
      <c r="G18" s="24"/>
      <c r="H18" s="18"/>
    </row>
    <row r="19" spans="1:9" ht="24.9" customHeight="1">
      <c r="B19" s="52" t="s">
        <v>10</v>
      </c>
      <c r="C19" s="4" t="s">
        <v>51</v>
      </c>
      <c r="D19" s="4"/>
      <c r="E19" s="4" t="s">
        <v>52</v>
      </c>
      <c r="F19" s="18"/>
      <c r="G19" s="24"/>
      <c r="H19" s="18"/>
    </row>
    <row r="20" spans="1:9" ht="24.9" customHeight="1">
      <c r="B20" s="52" t="s">
        <v>10</v>
      </c>
      <c r="C20" s="4" t="s">
        <v>3</v>
      </c>
      <c r="D20" s="4"/>
      <c r="E20" s="4" t="s">
        <v>53</v>
      </c>
      <c r="F20" s="18"/>
      <c r="G20" s="24"/>
      <c r="H20" s="18"/>
    </row>
    <row r="21" spans="1:9" ht="24.9" customHeight="1">
      <c r="B21" s="52" t="s">
        <v>10</v>
      </c>
      <c r="C21" s="4" t="e">
        <f>'5.TTG'!#REF!</f>
        <v>#REF!</v>
      </c>
      <c r="D21" s="4"/>
      <c r="E21" s="4" t="e">
        <f>'5.TTG'!#REF!</f>
        <v>#REF!</v>
      </c>
      <c r="F21" s="4"/>
      <c r="G21" s="25"/>
      <c r="H21" s="18"/>
    </row>
    <row r="22" spans="1:9" ht="45" customHeight="1">
      <c r="B22" s="26" t="s">
        <v>0</v>
      </c>
      <c r="C22" s="26" t="s">
        <v>54</v>
      </c>
      <c r="D22" s="26" t="s">
        <v>45</v>
      </c>
      <c r="E22" s="26" t="s">
        <v>24</v>
      </c>
      <c r="F22" s="26" t="s">
        <v>55</v>
      </c>
      <c r="G22" s="26" t="s">
        <v>56</v>
      </c>
      <c r="H22" s="26" t="s">
        <v>57</v>
      </c>
      <c r="I22" s="54" t="s">
        <v>28</v>
      </c>
    </row>
    <row r="23" spans="1:9" ht="16.5" hidden="1" customHeight="1">
      <c r="B23" s="55"/>
      <c r="C23" s="55">
        <v>3</v>
      </c>
      <c r="D23" s="55">
        <v>10</v>
      </c>
      <c r="E23" s="55">
        <v>9</v>
      </c>
      <c r="F23" s="55">
        <v>11</v>
      </c>
      <c r="G23" s="55">
        <v>16</v>
      </c>
      <c r="H23" s="55">
        <v>15</v>
      </c>
    </row>
    <row r="24" spans="1:9" ht="30" customHeight="1">
      <c r="A24" s="10">
        <f>ROW()-23</f>
        <v>1</v>
      </c>
      <c r="B24" s="56" t="e">
        <f>SUM($I$23:I24)</f>
        <v>#NAME?</v>
      </c>
      <c r="C24" s="48" t="e">
        <f t="shared" ref="C24:H33" si="0">VLOOKUP($A24,thuhoi,C$23,0)</f>
        <v>#NAME?</v>
      </c>
      <c r="D24" s="57" t="e">
        <f t="shared" si="0"/>
        <v>#NAME?</v>
      </c>
      <c r="E24" s="57" t="e">
        <f t="shared" si="0"/>
        <v>#NAME?</v>
      </c>
      <c r="F24" s="58" t="e">
        <f t="shared" si="0"/>
        <v>#NAME?</v>
      </c>
      <c r="G24" s="59" t="e">
        <f t="shared" si="0"/>
        <v>#NAME?</v>
      </c>
      <c r="H24" s="57" t="e">
        <f t="shared" si="0"/>
        <v>#NAME?</v>
      </c>
      <c r="I24" s="50" t="e">
        <f>IF(E24&gt;0,1,0)</f>
        <v>#NAME?</v>
      </c>
    </row>
    <row r="25" spans="1:9" ht="30" customHeight="1">
      <c r="A25" s="10">
        <f t="shared" ref="A25:A43" si="1">ROW()-23</f>
        <v>2</v>
      </c>
      <c r="B25" s="56" t="e">
        <f>SUM($I$23:I25)</f>
        <v>#NAME?</v>
      </c>
      <c r="C25" s="48" t="e">
        <f t="shared" si="0"/>
        <v>#NAME?</v>
      </c>
      <c r="D25" s="57" t="e">
        <f t="shared" si="0"/>
        <v>#NAME?</v>
      </c>
      <c r="E25" s="57" t="e">
        <f t="shared" si="0"/>
        <v>#NAME?</v>
      </c>
      <c r="F25" s="58" t="e">
        <f t="shared" si="0"/>
        <v>#NAME?</v>
      </c>
      <c r="G25" s="59" t="e">
        <f t="shared" si="0"/>
        <v>#NAME?</v>
      </c>
      <c r="H25" s="57" t="e">
        <f t="shared" si="0"/>
        <v>#NAME?</v>
      </c>
      <c r="I25" s="50" t="e">
        <f t="shared" ref="I25:I43" si="2">IF(E25&gt;0,1,0)</f>
        <v>#NAME?</v>
      </c>
    </row>
    <row r="26" spans="1:9" ht="30" customHeight="1">
      <c r="A26" s="10">
        <f t="shared" si="1"/>
        <v>3</v>
      </c>
      <c r="B26" s="56" t="e">
        <f>SUM($I$23:I26)</f>
        <v>#NAME?</v>
      </c>
      <c r="C26" s="48" t="e">
        <f t="shared" si="0"/>
        <v>#NAME?</v>
      </c>
      <c r="D26" s="57" t="e">
        <f t="shared" si="0"/>
        <v>#NAME?</v>
      </c>
      <c r="E26" s="57" t="e">
        <f t="shared" si="0"/>
        <v>#NAME?</v>
      </c>
      <c r="F26" s="58" t="e">
        <f t="shared" si="0"/>
        <v>#NAME?</v>
      </c>
      <c r="G26" s="59" t="e">
        <f t="shared" si="0"/>
        <v>#NAME?</v>
      </c>
      <c r="H26" s="57" t="e">
        <f t="shared" si="0"/>
        <v>#NAME?</v>
      </c>
      <c r="I26" s="50" t="e">
        <f t="shared" si="2"/>
        <v>#NAME?</v>
      </c>
    </row>
    <row r="27" spans="1:9" ht="30" customHeight="1">
      <c r="A27" s="10">
        <f t="shared" si="1"/>
        <v>4</v>
      </c>
      <c r="B27" s="56" t="e">
        <f>SUM($I$23:I27)</f>
        <v>#NAME?</v>
      </c>
      <c r="C27" s="48" t="e">
        <f t="shared" si="0"/>
        <v>#NAME?</v>
      </c>
      <c r="D27" s="57" t="e">
        <f t="shared" si="0"/>
        <v>#NAME?</v>
      </c>
      <c r="E27" s="57" t="e">
        <f t="shared" si="0"/>
        <v>#NAME?</v>
      </c>
      <c r="F27" s="58" t="e">
        <f t="shared" si="0"/>
        <v>#NAME?</v>
      </c>
      <c r="G27" s="59" t="e">
        <f t="shared" si="0"/>
        <v>#NAME?</v>
      </c>
      <c r="H27" s="57" t="e">
        <f t="shared" si="0"/>
        <v>#NAME?</v>
      </c>
      <c r="I27" s="50" t="e">
        <f t="shared" si="2"/>
        <v>#NAME?</v>
      </c>
    </row>
    <row r="28" spans="1:9" ht="30" customHeight="1">
      <c r="A28" s="10">
        <f t="shared" si="1"/>
        <v>5</v>
      </c>
      <c r="B28" s="56" t="e">
        <f>SUM($I$23:I28)</f>
        <v>#NAME?</v>
      </c>
      <c r="C28" s="48" t="e">
        <f t="shared" si="0"/>
        <v>#NAME?</v>
      </c>
      <c r="D28" s="57" t="e">
        <f t="shared" si="0"/>
        <v>#NAME?</v>
      </c>
      <c r="E28" s="57" t="e">
        <f t="shared" si="0"/>
        <v>#NAME?</v>
      </c>
      <c r="F28" s="58" t="e">
        <f t="shared" si="0"/>
        <v>#NAME?</v>
      </c>
      <c r="G28" s="59" t="e">
        <f t="shared" si="0"/>
        <v>#NAME?</v>
      </c>
      <c r="H28" s="57" t="e">
        <f t="shared" si="0"/>
        <v>#NAME?</v>
      </c>
      <c r="I28" s="50" t="e">
        <f t="shared" si="2"/>
        <v>#NAME?</v>
      </c>
    </row>
    <row r="29" spans="1:9" ht="30" customHeight="1">
      <c r="A29" s="10">
        <f t="shared" si="1"/>
        <v>6</v>
      </c>
      <c r="B29" s="56" t="e">
        <f>SUM($I$23:I29)</f>
        <v>#NAME?</v>
      </c>
      <c r="C29" s="48" t="e">
        <f t="shared" si="0"/>
        <v>#NAME?</v>
      </c>
      <c r="D29" s="57" t="e">
        <f t="shared" si="0"/>
        <v>#NAME?</v>
      </c>
      <c r="E29" s="57" t="e">
        <f t="shared" si="0"/>
        <v>#NAME?</v>
      </c>
      <c r="F29" s="58" t="e">
        <f t="shared" si="0"/>
        <v>#NAME?</v>
      </c>
      <c r="G29" s="59" t="e">
        <f t="shared" si="0"/>
        <v>#NAME?</v>
      </c>
      <c r="H29" s="57" t="e">
        <f t="shared" si="0"/>
        <v>#NAME?</v>
      </c>
      <c r="I29" s="50" t="e">
        <f t="shared" si="2"/>
        <v>#NAME?</v>
      </c>
    </row>
    <row r="30" spans="1:9" ht="30" customHeight="1">
      <c r="A30" s="10">
        <f t="shared" si="1"/>
        <v>7</v>
      </c>
      <c r="B30" s="56" t="e">
        <f>SUM($I$23:I30)</f>
        <v>#NAME?</v>
      </c>
      <c r="C30" s="48" t="e">
        <f t="shared" si="0"/>
        <v>#NAME?</v>
      </c>
      <c r="D30" s="57" t="e">
        <f t="shared" si="0"/>
        <v>#NAME?</v>
      </c>
      <c r="E30" s="57" t="e">
        <f t="shared" si="0"/>
        <v>#NAME?</v>
      </c>
      <c r="F30" s="58" t="e">
        <f t="shared" si="0"/>
        <v>#NAME?</v>
      </c>
      <c r="G30" s="59" t="e">
        <f t="shared" si="0"/>
        <v>#NAME?</v>
      </c>
      <c r="H30" s="57" t="e">
        <f t="shared" si="0"/>
        <v>#NAME?</v>
      </c>
      <c r="I30" s="50" t="e">
        <f t="shared" si="2"/>
        <v>#NAME?</v>
      </c>
    </row>
    <row r="31" spans="1:9" ht="30" hidden="1" customHeight="1">
      <c r="A31" s="10">
        <f t="shared" si="1"/>
        <v>8</v>
      </c>
      <c r="B31" s="56" t="e">
        <f>SUM($I$23:I31)</f>
        <v>#NAME?</v>
      </c>
      <c r="C31" s="48" t="e">
        <f t="shared" si="0"/>
        <v>#NAME?</v>
      </c>
      <c r="D31" s="57" t="e">
        <f t="shared" si="0"/>
        <v>#NAME?</v>
      </c>
      <c r="E31" s="57" t="e">
        <f t="shared" si="0"/>
        <v>#NAME?</v>
      </c>
      <c r="F31" s="58" t="e">
        <f t="shared" si="0"/>
        <v>#NAME?</v>
      </c>
      <c r="G31" s="59" t="e">
        <f t="shared" si="0"/>
        <v>#NAME?</v>
      </c>
      <c r="H31" s="57" t="e">
        <f t="shared" si="0"/>
        <v>#NAME?</v>
      </c>
      <c r="I31" s="50" t="e">
        <f t="shared" si="2"/>
        <v>#NAME?</v>
      </c>
    </row>
    <row r="32" spans="1:9" ht="20.100000000000001" hidden="1" customHeight="1">
      <c r="A32" s="10">
        <f t="shared" si="1"/>
        <v>9</v>
      </c>
      <c r="B32" s="56" t="e">
        <f>SUM($I$23:I32)</f>
        <v>#NAME?</v>
      </c>
      <c r="C32" s="48" t="e">
        <f t="shared" si="0"/>
        <v>#NAME?</v>
      </c>
      <c r="D32" s="57" t="e">
        <f t="shared" si="0"/>
        <v>#NAME?</v>
      </c>
      <c r="E32" s="57" t="e">
        <f t="shared" si="0"/>
        <v>#NAME?</v>
      </c>
      <c r="F32" s="58" t="e">
        <f t="shared" si="0"/>
        <v>#NAME?</v>
      </c>
      <c r="G32" s="59" t="e">
        <f t="shared" si="0"/>
        <v>#NAME?</v>
      </c>
      <c r="H32" s="57" t="e">
        <f t="shared" si="0"/>
        <v>#NAME?</v>
      </c>
      <c r="I32" s="50" t="e">
        <f t="shared" si="2"/>
        <v>#NAME?</v>
      </c>
    </row>
    <row r="33" spans="1:9" ht="14.25" hidden="1" customHeight="1">
      <c r="A33" s="10">
        <f t="shared" si="1"/>
        <v>10</v>
      </c>
      <c r="B33" s="56" t="e">
        <f>SUM($I$23:I33)</f>
        <v>#NAME?</v>
      </c>
      <c r="C33" s="48" t="e">
        <f t="shared" si="0"/>
        <v>#NAME?</v>
      </c>
      <c r="D33" s="57" t="e">
        <f t="shared" si="0"/>
        <v>#NAME?</v>
      </c>
      <c r="E33" s="57" t="e">
        <f t="shared" si="0"/>
        <v>#NAME?</v>
      </c>
      <c r="F33" s="58" t="e">
        <f t="shared" si="0"/>
        <v>#NAME?</v>
      </c>
      <c r="G33" s="59" t="e">
        <f t="shared" si="0"/>
        <v>#NAME?</v>
      </c>
      <c r="H33" s="57" t="e">
        <f t="shared" si="0"/>
        <v>#NAME?</v>
      </c>
      <c r="I33" s="50" t="e">
        <f t="shared" si="2"/>
        <v>#NAME?</v>
      </c>
    </row>
    <row r="34" spans="1:9" ht="16.5" hidden="1" customHeight="1">
      <c r="A34" s="10">
        <f t="shared" si="1"/>
        <v>11</v>
      </c>
      <c r="B34" s="56" t="e">
        <f>SUM($I$23:I34)</f>
        <v>#NAME?</v>
      </c>
      <c r="C34" s="48" t="e">
        <f t="shared" ref="C34:H43" si="3">VLOOKUP($A34,thuhoi,C$23,0)</f>
        <v>#NAME?</v>
      </c>
      <c r="D34" s="57" t="e">
        <f t="shared" si="3"/>
        <v>#NAME?</v>
      </c>
      <c r="E34" s="57" t="e">
        <f t="shared" si="3"/>
        <v>#NAME?</v>
      </c>
      <c r="F34" s="58" t="e">
        <f t="shared" si="3"/>
        <v>#NAME?</v>
      </c>
      <c r="G34" s="59" t="e">
        <f t="shared" si="3"/>
        <v>#NAME?</v>
      </c>
      <c r="H34" s="57" t="e">
        <f t="shared" si="3"/>
        <v>#NAME?</v>
      </c>
      <c r="I34" s="50" t="e">
        <f t="shared" si="2"/>
        <v>#NAME?</v>
      </c>
    </row>
    <row r="35" spans="1:9" ht="16.5" hidden="1" customHeight="1">
      <c r="A35" s="10">
        <f t="shared" si="1"/>
        <v>12</v>
      </c>
      <c r="B35" s="56" t="e">
        <f>SUM($I$23:I35)</f>
        <v>#NAME?</v>
      </c>
      <c r="C35" s="48" t="e">
        <f t="shared" si="3"/>
        <v>#NAME?</v>
      </c>
      <c r="D35" s="57" t="e">
        <f t="shared" si="3"/>
        <v>#NAME?</v>
      </c>
      <c r="E35" s="57" t="e">
        <f t="shared" si="3"/>
        <v>#NAME?</v>
      </c>
      <c r="F35" s="58" t="e">
        <f t="shared" si="3"/>
        <v>#NAME?</v>
      </c>
      <c r="G35" s="59" t="e">
        <f t="shared" si="3"/>
        <v>#NAME?</v>
      </c>
      <c r="H35" s="57" t="e">
        <f t="shared" si="3"/>
        <v>#NAME?</v>
      </c>
      <c r="I35" s="50" t="e">
        <f t="shared" si="2"/>
        <v>#NAME?</v>
      </c>
    </row>
    <row r="36" spans="1:9" ht="16.5" hidden="1" customHeight="1">
      <c r="A36" s="10">
        <f t="shared" si="1"/>
        <v>13</v>
      </c>
      <c r="B36" s="56" t="e">
        <f>SUM($I$23:I36)</f>
        <v>#NAME?</v>
      </c>
      <c r="C36" s="48" t="e">
        <f t="shared" si="3"/>
        <v>#NAME?</v>
      </c>
      <c r="D36" s="57" t="e">
        <f t="shared" si="3"/>
        <v>#NAME?</v>
      </c>
      <c r="E36" s="57" t="e">
        <f t="shared" si="3"/>
        <v>#NAME?</v>
      </c>
      <c r="F36" s="58" t="e">
        <f t="shared" si="3"/>
        <v>#NAME?</v>
      </c>
      <c r="G36" s="59" t="e">
        <f t="shared" si="3"/>
        <v>#NAME?</v>
      </c>
      <c r="H36" s="57" t="e">
        <f t="shared" si="3"/>
        <v>#NAME?</v>
      </c>
      <c r="I36" s="50" t="e">
        <f t="shared" si="2"/>
        <v>#NAME?</v>
      </c>
    </row>
    <row r="37" spans="1:9" ht="16.5" hidden="1" customHeight="1">
      <c r="A37" s="10">
        <f t="shared" si="1"/>
        <v>14</v>
      </c>
      <c r="B37" s="56" t="e">
        <f>SUM($I$23:I37)</f>
        <v>#NAME?</v>
      </c>
      <c r="C37" s="48" t="e">
        <f t="shared" si="3"/>
        <v>#NAME?</v>
      </c>
      <c r="D37" s="57" t="e">
        <f t="shared" si="3"/>
        <v>#NAME?</v>
      </c>
      <c r="E37" s="57" t="e">
        <f t="shared" si="3"/>
        <v>#NAME?</v>
      </c>
      <c r="F37" s="58" t="e">
        <f t="shared" si="3"/>
        <v>#NAME?</v>
      </c>
      <c r="G37" s="59" t="e">
        <f t="shared" si="3"/>
        <v>#NAME?</v>
      </c>
      <c r="H37" s="57" t="e">
        <f t="shared" si="3"/>
        <v>#NAME?</v>
      </c>
      <c r="I37" s="50" t="e">
        <f t="shared" si="2"/>
        <v>#NAME?</v>
      </c>
    </row>
    <row r="38" spans="1:9" ht="16.5" hidden="1" customHeight="1">
      <c r="A38" s="10">
        <f t="shared" si="1"/>
        <v>15</v>
      </c>
      <c r="B38" s="56" t="e">
        <f>SUM($I$23:I38)</f>
        <v>#NAME?</v>
      </c>
      <c r="C38" s="48" t="e">
        <f t="shared" si="3"/>
        <v>#NAME?</v>
      </c>
      <c r="D38" s="57" t="e">
        <f t="shared" si="3"/>
        <v>#NAME?</v>
      </c>
      <c r="E38" s="57" t="e">
        <f t="shared" si="3"/>
        <v>#NAME?</v>
      </c>
      <c r="F38" s="58" t="e">
        <f t="shared" si="3"/>
        <v>#NAME?</v>
      </c>
      <c r="G38" s="59" t="e">
        <f t="shared" si="3"/>
        <v>#NAME?</v>
      </c>
      <c r="H38" s="57" t="e">
        <f t="shared" si="3"/>
        <v>#NAME?</v>
      </c>
      <c r="I38" s="50" t="e">
        <f t="shared" si="2"/>
        <v>#NAME?</v>
      </c>
    </row>
    <row r="39" spans="1:9" ht="16.5" hidden="1" customHeight="1">
      <c r="A39" s="10">
        <f t="shared" si="1"/>
        <v>16</v>
      </c>
      <c r="B39" s="56" t="e">
        <f>SUM($I$23:I39)</f>
        <v>#NAME?</v>
      </c>
      <c r="C39" s="48" t="e">
        <f t="shared" si="3"/>
        <v>#NAME?</v>
      </c>
      <c r="D39" s="57" t="e">
        <f t="shared" si="3"/>
        <v>#NAME?</v>
      </c>
      <c r="E39" s="57" t="e">
        <f t="shared" si="3"/>
        <v>#NAME?</v>
      </c>
      <c r="F39" s="58" t="e">
        <f t="shared" si="3"/>
        <v>#NAME?</v>
      </c>
      <c r="G39" s="59" t="e">
        <f t="shared" si="3"/>
        <v>#NAME?</v>
      </c>
      <c r="H39" s="57" t="e">
        <f t="shared" si="3"/>
        <v>#NAME?</v>
      </c>
      <c r="I39" s="50" t="e">
        <f t="shared" si="2"/>
        <v>#NAME?</v>
      </c>
    </row>
    <row r="40" spans="1:9" ht="16.5" hidden="1" customHeight="1">
      <c r="A40" s="10">
        <f t="shared" si="1"/>
        <v>17</v>
      </c>
      <c r="B40" s="56" t="e">
        <f>SUM($I$23:I40)</f>
        <v>#NAME?</v>
      </c>
      <c r="C40" s="48" t="e">
        <f t="shared" si="3"/>
        <v>#NAME?</v>
      </c>
      <c r="D40" s="57" t="e">
        <f t="shared" si="3"/>
        <v>#NAME?</v>
      </c>
      <c r="E40" s="57" t="e">
        <f t="shared" si="3"/>
        <v>#NAME?</v>
      </c>
      <c r="F40" s="58" t="e">
        <f t="shared" si="3"/>
        <v>#NAME?</v>
      </c>
      <c r="G40" s="59" t="e">
        <f t="shared" si="3"/>
        <v>#NAME?</v>
      </c>
      <c r="H40" s="57" t="e">
        <f t="shared" si="3"/>
        <v>#NAME?</v>
      </c>
      <c r="I40" s="50" t="e">
        <f t="shared" si="2"/>
        <v>#NAME?</v>
      </c>
    </row>
    <row r="41" spans="1:9" ht="16.5" hidden="1" customHeight="1">
      <c r="A41" s="10">
        <f t="shared" si="1"/>
        <v>18</v>
      </c>
      <c r="B41" s="56" t="e">
        <f>SUM($I$23:I41)</f>
        <v>#NAME?</v>
      </c>
      <c r="C41" s="48" t="e">
        <f t="shared" si="3"/>
        <v>#NAME?</v>
      </c>
      <c r="D41" s="57" t="e">
        <f t="shared" si="3"/>
        <v>#NAME?</v>
      </c>
      <c r="E41" s="57" t="e">
        <f t="shared" si="3"/>
        <v>#NAME?</v>
      </c>
      <c r="F41" s="58" t="e">
        <f t="shared" si="3"/>
        <v>#NAME?</v>
      </c>
      <c r="G41" s="59" t="e">
        <f t="shared" si="3"/>
        <v>#NAME?</v>
      </c>
      <c r="H41" s="57" t="e">
        <f t="shared" si="3"/>
        <v>#NAME?</v>
      </c>
      <c r="I41" s="50" t="e">
        <f t="shared" si="2"/>
        <v>#NAME?</v>
      </c>
    </row>
    <row r="42" spans="1:9" ht="16.5" hidden="1" customHeight="1">
      <c r="A42" s="10">
        <f t="shared" si="1"/>
        <v>19</v>
      </c>
      <c r="B42" s="56" t="e">
        <f>SUM($I$23:I42)</f>
        <v>#NAME?</v>
      </c>
      <c r="C42" s="48" t="e">
        <f t="shared" si="3"/>
        <v>#NAME?</v>
      </c>
      <c r="D42" s="57" t="e">
        <f t="shared" si="3"/>
        <v>#NAME?</v>
      </c>
      <c r="E42" s="57" t="e">
        <f t="shared" si="3"/>
        <v>#NAME?</v>
      </c>
      <c r="F42" s="58" t="e">
        <f t="shared" si="3"/>
        <v>#NAME?</v>
      </c>
      <c r="G42" s="59" t="e">
        <f t="shared" si="3"/>
        <v>#NAME?</v>
      </c>
      <c r="H42" s="57" t="e">
        <f t="shared" si="3"/>
        <v>#NAME?</v>
      </c>
      <c r="I42" s="50" t="e">
        <f t="shared" si="2"/>
        <v>#NAME?</v>
      </c>
    </row>
    <row r="43" spans="1:9" ht="16.5" hidden="1" customHeight="1">
      <c r="A43" s="10">
        <f t="shared" si="1"/>
        <v>20</v>
      </c>
      <c r="B43" s="56" t="e">
        <f>SUM($I$23:I43)</f>
        <v>#NAME?</v>
      </c>
      <c r="C43" s="48" t="e">
        <f t="shared" si="3"/>
        <v>#NAME?</v>
      </c>
      <c r="D43" s="57" t="e">
        <f t="shared" si="3"/>
        <v>#NAME?</v>
      </c>
      <c r="E43" s="57" t="e">
        <f t="shared" si="3"/>
        <v>#NAME?</v>
      </c>
      <c r="F43" s="58" t="e">
        <f t="shared" si="3"/>
        <v>#NAME?</v>
      </c>
      <c r="G43" s="59" t="e">
        <f t="shared" si="3"/>
        <v>#NAME?</v>
      </c>
      <c r="H43" s="57" t="e">
        <f t="shared" si="3"/>
        <v>#NAME?</v>
      </c>
      <c r="I43" s="50" t="e">
        <f t="shared" si="2"/>
        <v>#NAME?</v>
      </c>
    </row>
    <row r="44" spans="1:9" ht="7.5" customHeight="1">
      <c r="B44" s="30"/>
      <c r="C44" s="31"/>
      <c r="D44" s="30"/>
      <c r="E44" s="32"/>
      <c r="F44" s="60"/>
      <c r="G44" s="30"/>
      <c r="H44" s="61"/>
    </row>
    <row r="45" spans="1:9" ht="27" customHeight="1">
      <c r="B45" s="34"/>
      <c r="C45" s="35" t="s">
        <v>29</v>
      </c>
      <c r="F45" s="34"/>
    </row>
    <row r="46" spans="1:9" ht="23.25" customHeight="1">
      <c r="B46" s="36" t="s">
        <v>30</v>
      </c>
      <c r="C46" s="34" t="str">
        <f>C13</f>
        <v>Trần Quang Hoàng</v>
      </c>
      <c r="D46" s="23"/>
      <c r="E46" s="23"/>
      <c r="F46" s="23"/>
      <c r="G46" s="253" t="s">
        <v>31</v>
      </c>
      <c r="H46" s="253"/>
    </row>
    <row r="47" spans="1:9" ht="23.25" customHeight="1">
      <c r="B47" s="36" t="s">
        <v>32</v>
      </c>
      <c r="C47" s="34" t="str">
        <f>C14</f>
        <v>Nguyễn Đình Thuận</v>
      </c>
      <c r="D47" s="62"/>
      <c r="E47" s="62"/>
      <c r="F47" s="63"/>
    </row>
    <row r="48" spans="1:9" ht="23.25" customHeight="1">
      <c r="B48" s="36" t="s">
        <v>33</v>
      </c>
      <c r="C48" s="34" t="str">
        <f>C15</f>
        <v>Lương Thành Viên</v>
      </c>
      <c r="D48" s="62"/>
      <c r="E48" s="62"/>
      <c r="F48" s="63"/>
    </row>
    <row r="49" spans="2:8" ht="23.25" customHeight="1">
      <c r="B49" s="36" t="s">
        <v>34</v>
      </c>
      <c r="C49" s="34" t="str">
        <f>C17</f>
        <v>Thái Thọ Nhơn</v>
      </c>
      <c r="D49" s="62"/>
      <c r="E49" s="62"/>
      <c r="F49" s="63"/>
    </row>
    <row r="50" spans="2:8" ht="23.25" customHeight="1">
      <c r="B50" s="36" t="s">
        <v>35</v>
      </c>
      <c r="C50" s="34" t="e">
        <f>C18</f>
        <v>#REF!</v>
      </c>
      <c r="D50" s="62"/>
      <c r="E50" s="62"/>
      <c r="F50" s="63"/>
    </row>
    <row r="51" spans="2:8" ht="23.25" customHeight="1">
      <c r="B51" s="36" t="s">
        <v>36</v>
      </c>
      <c r="C51" s="34" t="str">
        <f>C19</f>
        <v>Nguyễn Minh Hiếu</v>
      </c>
      <c r="D51" s="62"/>
      <c r="E51" s="62"/>
      <c r="F51" s="63"/>
      <c r="G51" s="242" t="s">
        <v>37</v>
      </c>
      <c r="H51" s="242"/>
    </row>
    <row r="52" spans="2:8" ht="23.25" customHeight="1">
      <c r="B52" s="36" t="s">
        <v>58</v>
      </c>
      <c r="C52" s="34" t="str">
        <f>C20</f>
        <v>Nguyễn Thị Thơi</v>
      </c>
      <c r="D52" s="62"/>
      <c r="E52" s="62"/>
      <c r="F52" s="63"/>
    </row>
    <row r="53" spans="2:8" ht="23.25" customHeight="1">
      <c r="B53" s="36" t="s">
        <v>59</v>
      </c>
      <c r="C53" s="34" t="e">
        <f>C21</f>
        <v>#REF!</v>
      </c>
      <c r="D53" s="62"/>
      <c r="E53" s="62"/>
      <c r="F53" s="63"/>
    </row>
  </sheetData>
  <autoFilter ref="B22:I43">
    <filterColumn colId="7">
      <filters>
        <filter val="1"/>
      </filters>
    </filterColumn>
  </autoFilter>
  <mergeCells count="5">
    <mergeCell ref="B7:H7"/>
    <mergeCell ref="B8:H8"/>
    <mergeCell ref="B10:H10"/>
    <mergeCell ref="G46:H46"/>
    <mergeCell ref="G51:H51"/>
  </mergeCells>
  <conditionalFormatting sqref="I7">
    <cfRule type="cellIs" dxfId="2" priority="1" operator="greaterThan">
      <formula>0</formula>
    </cfRule>
  </conditionalFormatting>
  <pageMargins left="0.82" right="0.37" top="0.62" bottom="0.59" header="0.31496062992126" footer="0.31496062992126"/>
  <pageSetup paperSize="9" orientation="portrait" blackAndWhite="1"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31"/>
  <sheetViews>
    <sheetView view="pageBreakPreview" topLeftCell="A16" zoomScaleNormal="100" zoomScaleSheetLayoutView="100" workbookViewId="0">
      <selection activeCell="D12" sqref="D12"/>
    </sheetView>
  </sheetViews>
  <sheetFormatPr defaultColWidth="9" defaultRowHeight="20.100000000000001" customHeight="1" outlineLevelRow="1"/>
  <cols>
    <col min="1" max="1" width="9" style="64"/>
    <col min="2" max="2" width="5.54296875" style="65" customWidth="1"/>
    <col min="3" max="3" width="28.36328125" style="65" customWidth="1"/>
    <col min="4" max="4" width="6.1796875" style="65" customWidth="1"/>
    <col min="5" max="5" width="6.90625" style="65" customWidth="1"/>
    <col min="6" max="6" width="7.81640625" style="65" customWidth="1"/>
    <col min="7" max="7" width="10.453125" style="65" customWidth="1"/>
    <col min="8" max="8" width="10.90625" style="65" customWidth="1"/>
    <col min="9" max="9" width="15.81640625" style="65" customWidth="1"/>
    <col min="10" max="257" width="8.90625" style="65" customWidth="1"/>
    <col min="258" max="16384" width="9" style="65"/>
  </cols>
  <sheetData>
    <row r="1" spans="1:9" ht="20.100000000000001" customHeight="1" outlineLevel="1"/>
    <row r="2" spans="1:9" ht="20.100000000000001" customHeight="1" outlineLevel="1"/>
    <row r="3" spans="1:9" ht="20.100000000000001" customHeight="1" outlineLevel="1"/>
    <row r="4" spans="1:9" ht="32.25" customHeight="1" outlineLevel="1"/>
    <row r="5" spans="1:9" s="68" customFormat="1" ht="24.75" customHeight="1" outlineLevel="1">
      <c r="A5" s="66"/>
      <c r="B5" s="15" t="s">
        <v>60</v>
      </c>
      <c r="C5" s="67"/>
      <c r="D5" s="67"/>
      <c r="E5" s="67"/>
      <c r="F5" s="67"/>
      <c r="G5" s="67"/>
      <c r="H5" s="67"/>
    </row>
    <row r="6" spans="1:9" customFormat="1" ht="20.100000000000001" customHeight="1" outlineLevel="1">
      <c r="B6" s="248" t="s">
        <v>8</v>
      </c>
      <c r="C6" s="248"/>
      <c r="D6" s="248"/>
      <c r="E6" s="248"/>
      <c r="F6" s="248"/>
      <c r="G6" s="248"/>
      <c r="H6" s="248"/>
    </row>
    <row r="7" spans="1:9" s="18" customFormat="1" ht="36" customHeight="1" outlineLevel="1">
      <c r="A7" s="69"/>
      <c r="B7" s="254" t="str">
        <f>"Công trình: "&amp;INFO!B2&amp;"."</f>
        <v>Công trình: CÔNG TY TNHH
THU LỘC.</v>
      </c>
      <c r="C7" s="254"/>
      <c r="D7" s="254"/>
      <c r="E7" s="254"/>
      <c r="F7" s="254"/>
      <c r="G7" s="254"/>
      <c r="H7" s="254"/>
    </row>
    <row r="8" spans="1:9" s="18" customFormat="1" ht="21.9" customHeight="1" outlineLevel="1">
      <c r="A8" s="69"/>
      <c r="B8" s="5" t="s">
        <v>61</v>
      </c>
    </row>
    <row r="9" spans="1:9" s="18" customFormat="1" ht="62.25" customHeight="1" outlineLevel="1">
      <c r="A9" s="69"/>
      <c r="B9" s="243" t="str">
        <f ca="1">"            Căn cứ biên bản đánh giá chất lượng vật tư thu hồi công trình "&amp;I7&amp;" ngày       tháng         năm "&amp;TEXT(I9,"YYYY")&amp;" của hội đồng. Đội QLVH ĐD &amp; TBA đề nghị Giám Đốc Điện Lực, phòng KH-KT cho nhập kho số lượng vật tư thu hồi như sau:"</f>
        <v xml:space="preserve">            Căn cứ biên bản đánh giá chất lượng vật tư thu hồi công trình  ngày       tháng         năm 2019 của hội đồng. Đội QLVH ĐD &amp; TBA đề nghị Giám Đốc Điện Lực, phòng KH-KT cho nhập kho số lượng vật tư thu hồi như sau:</v>
      </c>
      <c r="C9" s="243"/>
      <c r="D9" s="243"/>
      <c r="E9" s="243"/>
      <c r="F9" s="243"/>
      <c r="G9" s="243"/>
      <c r="H9" s="243"/>
      <c r="I9" s="51">
        <f ca="1">TODAY()</f>
        <v>43781</v>
      </c>
    </row>
    <row r="10" spans="1:9" ht="42.75" customHeight="1">
      <c r="B10" s="26" t="s">
        <v>0</v>
      </c>
      <c r="C10" s="26" t="s">
        <v>54</v>
      </c>
      <c r="D10" s="26" t="s">
        <v>45</v>
      </c>
      <c r="E10" s="26" t="s">
        <v>24</v>
      </c>
      <c r="F10" s="26" t="s">
        <v>55</v>
      </c>
      <c r="G10" s="26" t="s">
        <v>62</v>
      </c>
      <c r="H10" s="26" t="s">
        <v>57</v>
      </c>
      <c r="I10" s="65" t="s">
        <v>28</v>
      </c>
    </row>
    <row r="11" spans="1:9" ht="20.100000000000001" hidden="1" customHeight="1">
      <c r="A11" s="65"/>
      <c r="B11" s="55"/>
      <c r="C11" s="55">
        <v>3</v>
      </c>
      <c r="D11" s="55">
        <v>10</v>
      </c>
      <c r="E11" s="55">
        <v>9</v>
      </c>
      <c r="F11" s="55">
        <v>11</v>
      </c>
      <c r="G11" s="55">
        <v>16</v>
      </c>
      <c r="H11" s="55">
        <v>15</v>
      </c>
    </row>
    <row r="12" spans="1:9" ht="20.100000000000001" customHeight="1">
      <c r="A12" s="65">
        <f>ROW()-11</f>
        <v>1</v>
      </c>
      <c r="B12" s="56" t="e">
        <f>SUM($I$11:I12)</f>
        <v>#NAME?</v>
      </c>
      <c r="C12" s="48" t="e">
        <f t="shared" ref="C12:H21" si="0">VLOOKUP($A12,thuhoi,C$11,0)</f>
        <v>#NAME?</v>
      </c>
      <c r="D12" s="49" t="e">
        <f t="shared" si="0"/>
        <v>#NAME?</v>
      </c>
      <c r="E12" s="49" t="e">
        <f t="shared" si="0"/>
        <v>#NAME?</v>
      </c>
      <c r="F12" s="70" t="e">
        <f t="shared" si="0"/>
        <v>#NAME?</v>
      </c>
      <c r="G12" s="71" t="e">
        <f t="shared" si="0"/>
        <v>#NAME?</v>
      </c>
      <c r="H12" s="49" t="e">
        <f t="shared" si="0"/>
        <v>#NAME?</v>
      </c>
      <c r="I12" s="50" t="e">
        <f>IF(E12&gt;0,1,0)</f>
        <v>#NAME?</v>
      </c>
    </row>
    <row r="13" spans="1:9" ht="20.100000000000001" customHeight="1">
      <c r="A13" s="65">
        <f t="shared" ref="A13:A31" si="1">ROW()-11</f>
        <v>2</v>
      </c>
      <c r="B13" s="56" t="e">
        <f>SUM($I$11:I13)</f>
        <v>#NAME?</v>
      </c>
      <c r="C13" s="48" t="e">
        <f t="shared" si="0"/>
        <v>#NAME?</v>
      </c>
      <c r="D13" s="49" t="e">
        <f t="shared" si="0"/>
        <v>#NAME?</v>
      </c>
      <c r="E13" s="49" t="e">
        <f t="shared" si="0"/>
        <v>#NAME?</v>
      </c>
      <c r="F13" s="70" t="e">
        <f t="shared" si="0"/>
        <v>#NAME?</v>
      </c>
      <c r="G13" s="71" t="e">
        <f t="shared" si="0"/>
        <v>#NAME?</v>
      </c>
      <c r="H13" s="49" t="e">
        <f t="shared" si="0"/>
        <v>#NAME?</v>
      </c>
      <c r="I13" s="50" t="e">
        <f t="shared" ref="I13:I31" si="2">IF(E13&gt;0,1,0)</f>
        <v>#NAME?</v>
      </c>
    </row>
    <row r="14" spans="1:9" ht="20.100000000000001" customHeight="1">
      <c r="A14" s="65">
        <f t="shared" si="1"/>
        <v>3</v>
      </c>
      <c r="B14" s="56" t="e">
        <f>SUM($I$11:I14)</f>
        <v>#NAME?</v>
      </c>
      <c r="C14" s="48" t="e">
        <f t="shared" si="0"/>
        <v>#NAME?</v>
      </c>
      <c r="D14" s="49" t="e">
        <f t="shared" si="0"/>
        <v>#NAME?</v>
      </c>
      <c r="E14" s="49" t="e">
        <f t="shared" si="0"/>
        <v>#NAME?</v>
      </c>
      <c r="F14" s="70" t="e">
        <f t="shared" si="0"/>
        <v>#NAME?</v>
      </c>
      <c r="G14" s="71" t="e">
        <f t="shared" si="0"/>
        <v>#NAME?</v>
      </c>
      <c r="H14" s="49" t="e">
        <f t="shared" si="0"/>
        <v>#NAME?</v>
      </c>
      <c r="I14" s="50" t="e">
        <f t="shared" si="2"/>
        <v>#NAME?</v>
      </c>
    </row>
    <row r="15" spans="1:9" ht="20.100000000000001" customHeight="1">
      <c r="A15" s="65">
        <f t="shared" si="1"/>
        <v>4</v>
      </c>
      <c r="B15" s="56" t="e">
        <f>SUM($I$11:I15)</f>
        <v>#NAME?</v>
      </c>
      <c r="C15" s="48" t="e">
        <f t="shared" si="0"/>
        <v>#NAME?</v>
      </c>
      <c r="D15" s="49" t="e">
        <f t="shared" si="0"/>
        <v>#NAME?</v>
      </c>
      <c r="E15" s="49" t="e">
        <f t="shared" si="0"/>
        <v>#NAME?</v>
      </c>
      <c r="F15" s="70" t="e">
        <f t="shared" si="0"/>
        <v>#NAME?</v>
      </c>
      <c r="G15" s="71" t="e">
        <f t="shared" si="0"/>
        <v>#NAME?</v>
      </c>
      <c r="H15" s="49" t="e">
        <f t="shared" si="0"/>
        <v>#NAME?</v>
      </c>
      <c r="I15" s="50" t="e">
        <f t="shared" si="2"/>
        <v>#NAME?</v>
      </c>
    </row>
    <row r="16" spans="1:9" ht="20.100000000000001" customHeight="1">
      <c r="A16" s="65">
        <f t="shared" si="1"/>
        <v>5</v>
      </c>
      <c r="B16" s="56" t="e">
        <f>SUM($I$11:I16)</f>
        <v>#NAME?</v>
      </c>
      <c r="C16" s="48" t="e">
        <f t="shared" si="0"/>
        <v>#NAME?</v>
      </c>
      <c r="D16" s="49" t="e">
        <f t="shared" si="0"/>
        <v>#NAME?</v>
      </c>
      <c r="E16" s="49" t="e">
        <f t="shared" si="0"/>
        <v>#NAME?</v>
      </c>
      <c r="F16" s="70" t="e">
        <f t="shared" si="0"/>
        <v>#NAME?</v>
      </c>
      <c r="G16" s="71" t="e">
        <f t="shared" si="0"/>
        <v>#NAME?</v>
      </c>
      <c r="H16" s="49" t="e">
        <f t="shared" si="0"/>
        <v>#NAME?</v>
      </c>
      <c r="I16" s="50" t="e">
        <f t="shared" si="2"/>
        <v>#NAME?</v>
      </c>
    </row>
    <row r="17" spans="1:9" ht="20.100000000000001" customHeight="1">
      <c r="A17" s="65">
        <f t="shared" si="1"/>
        <v>6</v>
      </c>
      <c r="B17" s="56" t="e">
        <f>SUM($I$11:I17)</f>
        <v>#NAME?</v>
      </c>
      <c r="C17" s="48" t="e">
        <f t="shared" si="0"/>
        <v>#NAME?</v>
      </c>
      <c r="D17" s="49" t="e">
        <f t="shared" si="0"/>
        <v>#NAME?</v>
      </c>
      <c r="E17" s="49" t="e">
        <f t="shared" si="0"/>
        <v>#NAME?</v>
      </c>
      <c r="F17" s="70" t="e">
        <f t="shared" si="0"/>
        <v>#NAME?</v>
      </c>
      <c r="G17" s="71" t="e">
        <f t="shared" si="0"/>
        <v>#NAME?</v>
      </c>
      <c r="H17" s="49" t="e">
        <f t="shared" si="0"/>
        <v>#NAME?</v>
      </c>
      <c r="I17" s="50" t="e">
        <f t="shared" si="2"/>
        <v>#NAME?</v>
      </c>
    </row>
    <row r="18" spans="1:9" ht="20.100000000000001" customHeight="1">
      <c r="A18" s="65">
        <f t="shared" si="1"/>
        <v>7</v>
      </c>
      <c r="B18" s="56" t="e">
        <f>SUM($I$11:I18)</f>
        <v>#NAME?</v>
      </c>
      <c r="C18" s="48" t="e">
        <f t="shared" si="0"/>
        <v>#NAME?</v>
      </c>
      <c r="D18" s="49" t="e">
        <f t="shared" si="0"/>
        <v>#NAME?</v>
      </c>
      <c r="E18" s="49" t="e">
        <f t="shared" si="0"/>
        <v>#NAME?</v>
      </c>
      <c r="F18" s="70" t="e">
        <f t="shared" si="0"/>
        <v>#NAME?</v>
      </c>
      <c r="G18" s="71" t="e">
        <f t="shared" si="0"/>
        <v>#NAME?</v>
      </c>
      <c r="H18" s="49" t="e">
        <f t="shared" si="0"/>
        <v>#NAME?</v>
      </c>
      <c r="I18" s="50" t="e">
        <f t="shared" si="2"/>
        <v>#NAME?</v>
      </c>
    </row>
    <row r="19" spans="1:9" ht="20.100000000000001" hidden="1" customHeight="1">
      <c r="A19" s="65">
        <f t="shared" si="1"/>
        <v>8</v>
      </c>
      <c r="B19" s="56" t="e">
        <f>SUM($I$11:I19)</f>
        <v>#NAME?</v>
      </c>
      <c r="C19" s="48" t="e">
        <f t="shared" si="0"/>
        <v>#NAME?</v>
      </c>
      <c r="D19" s="49" t="e">
        <f t="shared" si="0"/>
        <v>#NAME?</v>
      </c>
      <c r="E19" s="49" t="e">
        <f t="shared" si="0"/>
        <v>#NAME?</v>
      </c>
      <c r="F19" s="70" t="e">
        <f t="shared" si="0"/>
        <v>#NAME?</v>
      </c>
      <c r="G19" s="71" t="e">
        <f t="shared" si="0"/>
        <v>#NAME?</v>
      </c>
      <c r="H19" s="49" t="e">
        <f t="shared" si="0"/>
        <v>#NAME?</v>
      </c>
      <c r="I19" s="50" t="e">
        <f t="shared" si="2"/>
        <v>#NAME?</v>
      </c>
    </row>
    <row r="20" spans="1:9" ht="20.100000000000001" hidden="1" customHeight="1">
      <c r="A20" s="65">
        <f t="shared" si="1"/>
        <v>9</v>
      </c>
      <c r="B20" s="56" t="e">
        <f>SUM($I$11:I20)</f>
        <v>#NAME?</v>
      </c>
      <c r="C20" s="48" t="e">
        <f t="shared" si="0"/>
        <v>#NAME?</v>
      </c>
      <c r="D20" s="49" t="e">
        <f t="shared" si="0"/>
        <v>#NAME?</v>
      </c>
      <c r="E20" s="49" t="e">
        <f t="shared" si="0"/>
        <v>#NAME?</v>
      </c>
      <c r="F20" s="70" t="e">
        <f t="shared" si="0"/>
        <v>#NAME?</v>
      </c>
      <c r="G20" s="71" t="e">
        <f t="shared" si="0"/>
        <v>#NAME?</v>
      </c>
      <c r="H20" s="49" t="e">
        <f t="shared" si="0"/>
        <v>#NAME?</v>
      </c>
      <c r="I20" s="50" t="e">
        <f t="shared" si="2"/>
        <v>#NAME?</v>
      </c>
    </row>
    <row r="21" spans="1:9" ht="42.75" hidden="1" customHeight="1">
      <c r="A21" s="65">
        <f t="shared" si="1"/>
        <v>10</v>
      </c>
      <c r="B21" s="56" t="e">
        <f>SUM($I$11:I21)</f>
        <v>#NAME?</v>
      </c>
      <c r="C21" s="48" t="e">
        <f t="shared" si="0"/>
        <v>#NAME?</v>
      </c>
      <c r="D21" s="49" t="e">
        <f t="shared" si="0"/>
        <v>#NAME?</v>
      </c>
      <c r="E21" s="49" t="e">
        <f t="shared" si="0"/>
        <v>#NAME?</v>
      </c>
      <c r="F21" s="70" t="e">
        <f t="shared" si="0"/>
        <v>#NAME?</v>
      </c>
      <c r="G21" s="71" t="e">
        <f t="shared" si="0"/>
        <v>#NAME?</v>
      </c>
      <c r="H21" s="49" t="e">
        <f t="shared" si="0"/>
        <v>#NAME?</v>
      </c>
      <c r="I21" s="50" t="e">
        <f t="shared" si="2"/>
        <v>#NAME?</v>
      </c>
    </row>
    <row r="22" spans="1:9" ht="42.75" hidden="1" customHeight="1">
      <c r="A22" s="65">
        <f t="shared" si="1"/>
        <v>11</v>
      </c>
      <c r="B22" s="56" t="e">
        <f>SUM($I$11:I22)</f>
        <v>#NAME?</v>
      </c>
      <c r="C22" s="48" t="e">
        <f t="shared" ref="C22:H30" si="3">VLOOKUP($A22,thuhoi,C$11,0)</f>
        <v>#NAME?</v>
      </c>
      <c r="D22" s="49" t="e">
        <f t="shared" si="3"/>
        <v>#NAME?</v>
      </c>
      <c r="E22" s="49" t="e">
        <f t="shared" si="3"/>
        <v>#NAME?</v>
      </c>
      <c r="F22" s="70" t="e">
        <f t="shared" si="3"/>
        <v>#NAME?</v>
      </c>
      <c r="G22" s="71" t="e">
        <f t="shared" si="3"/>
        <v>#NAME?</v>
      </c>
      <c r="H22" s="49" t="e">
        <f t="shared" si="3"/>
        <v>#NAME?</v>
      </c>
      <c r="I22" s="50" t="e">
        <f t="shared" si="2"/>
        <v>#NAME?</v>
      </c>
    </row>
    <row r="23" spans="1:9" ht="42.75" hidden="1" customHeight="1">
      <c r="A23" s="65">
        <f t="shared" si="1"/>
        <v>12</v>
      </c>
      <c r="B23" s="56" t="e">
        <f>SUM($I$11:I23)</f>
        <v>#NAME?</v>
      </c>
      <c r="C23" s="48" t="e">
        <f t="shared" si="3"/>
        <v>#NAME?</v>
      </c>
      <c r="D23" s="49" t="e">
        <f t="shared" si="3"/>
        <v>#NAME?</v>
      </c>
      <c r="E23" s="49" t="e">
        <f t="shared" si="3"/>
        <v>#NAME?</v>
      </c>
      <c r="F23" s="70" t="e">
        <f t="shared" si="3"/>
        <v>#NAME?</v>
      </c>
      <c r="G23" s="71" t="e">
        <f t="shared" si="3"/>
        <v>#NAME?</v>
      </c>
      <c r="H23" s="49" t="e">
        <f t="shared" si="3"/>
        <v>#NAME?</v>
      </c>
      <c r="I23" s="50" t="e">
        <f t="shared" si="2"/>
        <v>#NAME?</v>
      </c>
    </row>
    <row r="24" spans="1:9" ht="42.75" hidden="1" customHeight="1">
      <c r="A24" s="65">
        <f t="shared" si="1"/>
        <v>13</v>
      </c>
      <c r="B24" s="56" t="e">
        <f>SUM($I$11:I24)</f>
        <v>#NAME?</v>
      </c>
      <c r="C24" s="48" t="e">
        <f t="shared" si="3"/>
        <v>#NAME?</v>
      </c>
      <c r="D24" s="49" t="e">
        <f t="shared" si="3"/>
        <v>#NAME?</v>
      </c>
      <c r="E24" s="49" t="e">
        <f t="shared" si="3"/>
        <v>#NAME?</v>
      </c>
      <c r="F24" s="70" t="e">
        <f t="shared" si="3"/>
        <v>#NAME?</v>
      </c>
      <c r="G24" s="71" t="e">
        <f t="shared" si="3"/>
        <v>#NAME?</v>
      </c>
      <c r="H24" s="49" t="e">
        <f t="shared" si="3"/>
        <v>#NAME?</v>
      </c>
      <c r="I24" s="50" t="e">
        <f t="shared" si="2"/>
        <v>#NAME?</v>
      </c>
    </row>
    <row r="25" spans="1:9" ht="42.75" hidden="1" customHeight="1">
      <c r="A25" s="65">
        <f t="shared" si="1"/>
        <v>14</v>
      </c>
      <c r="B25" s="56" t="e">
        <f>SUM($I$11:I25)</f>
        <v>#NAME?</v>
      </c>
      <c r="C25" s="48" t="e">
        <f t="shared" si="3"/>
        <v>#NAME?</v>
      </c>
      <c r="D25" s="49" t="e">
        <f t="shared" si="3"/>
        <v>#NAME?</v>
      </c>
      <c r="E25" s="49" t="e">
        <f t="shared" si="3"/>
        <v>#NAME?</v>
      </c>
      <c r="F25" s="70" t="e">
        <f t="shared" si="3"/>
        <v>#NAME?</v>
      </c>
      <c r="G25" s="71" t="e">
        <f t="shared" si="3"/>
        <v>#NAME?</v>
      </c>
      <c r="H25" s="49" t="e">
        <f t="shared" si="3"/>
        <v>#NAME?</v>
      </c>
      <c r="I25" s="50" t="e">
        <f t="shared" si="2"/>
        <v>#NAME?</v>
      </c>
    </row>
    <row r="26" spans="1:9" ht="42.75" hidden="1" customHeight="1">
      <c r="A26" s="65">
        <f t="shared" si="1"/>
        <v>15</v>
      </c>
      <c r="B26" s="56" t="e">
        <f>SUM($I$11:I26)</f>
        <v>#NAME?</v>
      </c>
      <c r="C26" s="48" t="e">
        <f t="shared" si="3"/>
        <v>#NAME?</v>
      </c>
      <c r="D26" s="49" t="e">
        <f t="shared" si="3"/>
        <v>#NAME?</v>
      </c>
      <c r="E26" s="49" t="e">
        <f t="shared" si="3"/>
        <v>#NAME?</v>
      </c>
      <c r="F26" s="70" t="e">
        <f t="shared" si="3"/>
        <v>#NAME?</v>
      </c>
      <c r="G26" s="71" t="e">
        <f t="shared" si="3"/>
        <v>#NAME?</v>
      </c>
      <c r="H26" s="49" t="e">
        <f t="shared" si="3"/>
        <v>#NAME?</v>
      </c>
      <c r="I26" s="50" t="e">
        <f t="shared" si="2"/>
        <v>#NAME?</v>
      </c>
    </row>
    <row r="27" spans="1:9" ht="42.75" hidden="1" customHeight="1">
      <c r="A27" s="65">
        <f t="shared" si="1"/>
        <v>16</v>
      </c>
      <c r="B27" s="56" t="e">
        <f>SUM($I$11:I27)</f>
        <v>#NAME?</v>
      </c>
      <c r="C27" s="48" t="e">
        <f t="shared" si="3"/>
        <v>#NAME?</v>
      </c>
      <c r="D27" s="49" t="e">
        <f t="shared" si="3"/>
        <v>#NAME?</v>
      </c>
      <c r="E27" s="49" t="e">
        <f t="shared" si="3"/>
        <v>#NAME?</v>
      </c>
      <c r="F27" s="70" t="e">
        <f t="shared" si="3"/>
        <v>#NAME?</v>
      </c>
      <c r="G27" s="71" t="e">
        <f t="shared" si="3"/>
        <v>#NAME?</v>
      </c>
      <c r="H27" s="49" t="e">
        <f t="shared" si="3"/>
        <v>#NAME?</v>
      </c>
      <c r="I27" s="50" t="e">
        <f t="shared" si="2"/>
        <v>#NAME?</v>
      </c>
    </row>
    <row r="28" spans="1:9" ht="42.75" hidden="1" customHeight="1">
      <c r="A28" s="65">
        <f t="shared" si="1"/>
        <v>17</v>
      </c>
      <c r="B28" s="56" t="e">
        <f>SUM($I$11:I28)</f>
        <v>#NAME?</v>
      </c>
      <c r="C28" s="48" t="e">
        <f t="shared" si="3"/>
        <v>#NAME?</v>
      </c>
      <c r="D28" s="49" t="e">
        <f t="shared" si="3"/>
        <v>#NAME?</v>
      </c>
      <c r="E28" s="49" t="e">
        <f t="shared" si="3"/>
        <v>#NAME?</v>
      </c>
      <c r="F28" s="70" t="e">
        <f t="shared" si="3"/>
        <v>#NAME?</v>
      </c>
      <c r="G28" s="71" t="e">
        <f t="shared" si="3"/>
        <v>#NAME?</v>
      </c>
      <c r="H28" s="49" t="e">
        <f t="shared" si="3"/>
        <v>#NAME?</v>
      </c>
      <c r="I28" s="50" t="e">
        <f t="shared" si="2"/>
        <v>#NAME?</v>
      </c>
    </row>
    <row r="29" spans="1:9" ht="42.75" hidden="1" customHeight="1">
      <c r="A29" s="65">
        <f t="shared" si="1"/>
        <v>18</v>
      </c>
      <c r="B29" s="56" t="e">
        <f>SUM($I$11:I29)</f>
        <v>#NAME?</v>
      </c>
      <c r="C29" s="48" t="e">
        <f t="shared" si="3"/>
        <v>#NAME?</v>
      </c>
      <c r="D29" s="49" t="e">
        <f t="shared" si="3"/>
        <v>#NAME?</v>
      </c>
      <c r="E29" s="49" t="e">
        <f t="shared" si="3"/>
        <v>#NAME?</v>
      </c>
      <c r="F29" s="70" t="e">
        <f t="shared" si="3"/>
        <v>#NAME?</v>
      </c>
      <c r="G29" s="71" t="e">
        <f t="shared" si="3"/>
        <v>#NAME?</v>
      </c>
      <c r="H29" s="49" t="e">
        <f t="shared" si="3"/>
        <v>#NAME?</v>
      </c>
      <c r="I29" s="50" t="e">
        <f t="shared" si="2"/>
        <v>#NAME?</v>
      </c>
    </row>
    <row r="30" spans="1:9" ht="42.75" hidden="1" customHeight="1">
      <c r="A30" s="65">
        <f t="shared" si="1"/>
        <v>19</v>
      </c>
      <c r="B30" s="56" t="e">
        <f>SUM($I$11:I30)</f>
        <v>#NAME?</v>
      </c>
      <c r="C30" s="48" t="e">
        <f t="shared" si="3"/>
        <v>#NAME?</v>
      </c>
      <c r="D30" s="49" t="e">
        <f t="shared" si="3"/>
        <v>#NAME?</v>
      </c>
      <c r="E30" s="49" t="e">
        <f t="shared" si="3"/>
        <v>#NAME?</v>
      </c>
      <c r="F30" s="70" t="e">
        <f t="shared" si="3"/>
        <v>#NAME?</v>
      </c>
      <c r="G30" s="71" t="e">
        <f t="shared" si="3"/>
        <v>#NAME?</v>
      </c>
      <c r="H30" s="49" t="e">
        <f t="shared" si="3"/>
        <v>#NAME?</v>
      </c>
      <c r="I30" s="50" t="e">
        <f t="shared" si="2"/>
        <v>#NAME?</v>
      </c>
    </row>
    <row r="31" spans="1:9" ht="6" hidden="1" customHeight="1">
      <c r="A31" s="65">
        <f t="shared" si="1"/>
        <v>20</v>
      </c>
      <c r="B31" s="72"/>
      <c r="C31" s="73"/>
      <c r="D31" s="72"/>
      <c r="E31" s="74"/>
      <c r="F31" s="74"/>
      <c r="G31" s="72"/>
      <c r="H31" s="75"/>
      <c r="I31" s="50">
        <f t="shared" si="2"/>
        <v>0</v>
      </c>
    </row>
  </sheetData>
  <autoFilter ref="B10:I31">
    <filterColumn colId="7">
      <filters>
        <filter val="1"/>
      </filters>
    </filterColumn>
  </autoFilter>
  <mergeCells count="3">
    <mergeCell ref="B6:H6"/>
    <mergeCell ref="B7:H7"/>
    <mergeCell ref="B9:H9"/>
  </mergeCells>
  <conditionalFormatting sqref="I6">
    <cfRule type="cellIs" dxfId="1" priority="1" operator="greaterThan">
      <formula>0</formula>
    </cfRule>
  </conditionalFormatting>
  <pageMargins left="0.74" right="0.3125" top="0.65" bottom="0.74803149606299202" header="0.31496062992126" footer="0.31496062992126"/>
  <pageSetup paperSize="9" orientation="portrait" blackAndWhite="1"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24"/>
  <sheetViews>
    <sheetView view="pageBreakPreview" topLeftCell="A106" zoomScale="85" zoomScaleNormal="100" zoomScaleSheetLayoutView="85" workbookViewId="0">
      <selection activeCell="D113" sqref="D113"/>
    </sheetView>
  </sheetViews>
  <sheetFormatPr defaultColWidth="9" defaultRowHeight="20.100000000000001" customHeight="1"/>
  <cols>
    <col min="2" max="2" width="5.90625" customWidth="1"/>
    <col min="3" max="3" width="29.54296875" customWidth="1"/>
    <col min="4" max="4" width="8.36328125" customWidth="1"/>
    <col min="5" max="5" width="8.453125" customWidth="1"/>
    <col min="6" max="6" width="24" customWidth="1"/>
    <col min="7" max="7" width="23.08984375" customWidth="1"/>
    <col min="8" max="257" width="8.90625" customWidth="1"/>
  </cols>
  <sheetData>
    <row r="4" spans="1:6" ht="32.25" customHeight="1"/>
    <row r="5" spans="1:6" ht="24.75" customHeight="1">
      <c r="B5" s="15" t="s">
        <v>63</v>
      </c>
      <c r="C5" s="16"/>
      <c r="D5" s="16"/>
      <c r="E5" s="16"/>
      <c r="F5" s="16"/>
    </row>
    <row r="6" spans="1:6" ht="24.75" customHeight="1">
      <c r="B6" s="15"/>
      <c r="C6" s="21" t="s">
        <v>64</v>
      </c>
      <c r="D6" s="16"/>
      <c r="E6" s="16"/>
      <c r="F6" s="16"/>
    </row>
    <row r="7" spans="1:6" ht="19.5" customHeight="1">
      <c r="B7" s="15"/>
      <c r="C7" s="16"/>
      <c r="D7" s="76" t="s">
        <v>65</v>
      </c>
      <c r="E7" s="16"/>
      <c r="F7" s="16"/>
    </row>
    <row r="8" spans="1:6" ht="19.5" customHeight="1">
      <c r="B8" s="15"/>
      <c r="C8" s="16"/>
      <c r="D8" s="76" t="s">
        <v>66</v>
      </c>
      <c r="E8" s="16"/>
      <c r="F8" s="16"/>
    </row>
    <row r="9" spans="1:6" s="18" customFormat="1" ht="32.25" customHeight="1">
      <c r="B9" s="5" t="str">
        <f>"Công trình: "&amp;INFO!$B$2&amp;"."</f>
        <v>Công trình: CÔNG TY TNHH
THU LỘC.</v>
      </c>
    </row>
    <row r="10" spans="1:6" s="77" customFormat="1" ht="33" customHeight="1">
      <c r="B10" s="5" t="e">
        <f>"Nguồn Vốn: "&amp;INFO!#REF!&amp;"."</f>
        <v>#REF!</v>
      </c>
    </row>
    <row r="11" spans="1:6" s="77" customFormat="1" ht="33" customHeight="1">
      <c r="B11" s="5" t="s">
        <v>67</v>
      </c>
    </row>
    <row r="12" spans="1:6" ht="42.75" customHeight="1">
      <c r="B12" s="40" t="s">
        <v>68</v>
      </c>
      <c r="C12" s="40" t="s">
        <v>54</v>
      </c>
      <c r="D12" s="40" t="s">
        <v>23</v>
      </c>
      <c r="E12" s="40" t="s">
        <v>24</v>
      </c>
      <c r="F12" s="40" t="s">
        <v>69</v>
      </c>
    </row>
    <row r="13" spans="1:6" ht="33.75" customHeight="1">
      <c r="A13" s="78" t="e">
        <f>COUNTIF($B$3:B13,B13)&amp;B13</f>
        <v>#NAME?</v>
      </c>
      <c r="B13" s="79" t="e">
        <f>'7.SAU-THAO-GO'!B24</f>
        <v>#NAME?</v>
      </c>
      <c r="C13" s="80"/>
      <c r="D13" s="79"/>
      <c r="E13" s="79"/>
      <c r="F13" s="81"/>
    </row>
    <row r="14" spans="1:6" ht="33.75" customHeight="1">
      <c r="B14" s="79" t="e">
        <f>'7.SAU-THAO-GO'!B25</f>
        <v>#NAME?</v>
      </c>
      <c r="C14" s="80"/>
      <c r="D14" s="79"/>
      <c r="E14" s="79"/>
      <c r="F14" s="79"/>
    </row>
    <row r="15" spans="1:6" ht="33.75" customHeight="1">
      <c r="B15" s="79" t="e">
        <f>'7.SAU-THAO-GO'!B26</f>
        <v>#NAME?</v>
      </c>
      <c r="C15" s="80"/>
      <c r="D15" s="79"/>
      <c r="E15" s="79"/>
      <c r="F15" s="79"/>
    </row>
    <row r="16" spans="1:6" ht="42.75" customHeight="1">
      <c r="B16" s="79" t="e">
        <f>'7.SAU-THAO-GO'!B27</f>
        <v>#NAME?</v>
      </c>
      <c r="C16" s="79"/>
      <c r="D16" s="79"/>
      <c r="E16" s="79"/>
      <c r="F16" s="79"/>
    </row>
    <row r="17" spans="2:6" ht="42.75" customHeight="1">
      <c r="B17" s="79" t="e">
        <f>'7.SAU-THAO-GO'!B28</f>
        <v>#NAME?</v>
      </c>
      <c r="C17" s="79"/>
      <c r="D17" s="79"/>
      <c r="E17" s="79"/>
      <c r="F17" s="79"/>
    </row>
    <row r="18" spans="2:6" ht="42.75" customHeight="1">
      <c r="B18" s="79" t="e">
        <f>'7.SAU-THAO-GO'!B29</f>
        <v>#NAME?</v>
      </c>
      <c r="C18" s="79"/>
      <c r="D18" s="79"/>
      <c r="E18" s="79"/>
      <c r="F18" s="79"/>
    </row>
    <row r="19" spans="2:6" ht="42.75" customHeight="1">
      <c r="B19" s="79" t="e">
        <f>'7.SAU-THAO-GO'!B30</f>
        <v>#NAME?</v>
      </c>
      <c r="C19" s="79"/>
      <c r="D19" s="79"/>
      <c r="E19" s="79"/>
      <c r="F19" s="79"/>
    </row>
    <row r="20" spans="2:6" ht="42.75" customHeight="1">
      <c r="B20" s="79" t="e">
        <f>'7.SAU-THAO-GO'!B31</f>
        <v>#NAME?</v>
      </c>
      <c r="C20" s="79"/>
      <c r="D20" s="79"/>
      <c r="E20" s="79"/>
      <c r="F20" s="79"/>
    </row>
    <row r="21" spans="2:6" ht="42.75" customHeight="1">
      <c r="B21" s="79" t="e">
        <f>'7.SAU-THAO-GO'!B32</f>
        <v>#NAME?</v>
      </c>
      <c r="C21" s="79"/>
      <c r="D21" s="79"/>
      <c r="E21" s="79"/>
      <c r="F21" s="79"/>
    </row>
    <row r="22" spans="2:6" ht="42.75" customHeight="1">
      <c r="B22" s="79" t="e">
        <f>'7.SAU-THAO-GO'!B33</f>
        <v>#NAME?</v>
      </c>
      <c r="C22" s="79"/>
      <c r="D22" s="79"/>
      <c r="E22" s="79"/>
      <c r="F22" s="79"/>
    </row>
    <row r="23" spans="2:6" ht="42.75" customHeight="1">
      <c r="B23" s="79" t="e">
        <f>'7.SAU-THAO-GO'!B34</f>
        <v>#NAME?</v>
      </c>
      <c r="C23" s="79"/>
      <c r="D23" s="79"/>
      <c r="E23" s="79"/>
      <c r="F23" s="79"/>
    </row>
    <row r="24" spans="2:6" ht="42.75" customHeight="1">
      <c r="B24" s="79" t="e">
        <f>'7.SAU-THAO-GO'!B35</f>
        <v>#NAME?</v>
      </c>
      <c r="C24" s="79"/>
      <c r="D24" s="79"/>
      <c r="E24" s="79"/>
      <c r="F24" s="79"/>
    </row>
    <row r="25" spans="2:6" ht="42.75" customHeight="1">
      <c r="B25" s="79" t="e">
        <f>'7.SAU-THAO-GO'!B36</f>
        <v>#NAME?</v>
      </c>
      <c r="C25" s="79"/>
      <c r="D25" s="79"/>
      <c r="E25" s="79"/>
      <c r="F25" s="79"/>
    </row>
    <row r="26" spans="2:6" ht="42.75" customHeight="1">
      <c r="B26" s="79" t="e">
        <f>'7.SAU-THAO-GO'!B37</f>
        <v>#NAME?</v>
      </c>
      <c r="C26" s="79"/>
      <c r="D26" s="79"/>
      <c r="E26" s="79"/>
      <c r="F26" s="79"/>
    </row>
    <row r="27" spans="2:6" ht="42.75" customHeight="1">
      <c r="B27" s="79" t="e">
        <f>'7.SAU-THAO-GO'!B38</f>
        <v>#NAME?</v>
      </c>
      <c r="C27" s="79"/>
      <c r="D27" s="79"/>
      <c r="E27" s="79"/>
      <c r="F27" s="79"/>
    </row>
    <row r="28" spans="2:6" ht="42.75" customHeight="1">
      <c r="B28" s="79" t="e">
        <f>'7.SAU-THAO-GO'!B39</f>
        <v>#NAME?</v>
      </c>
      <c r="C28" s="79"/>
      <c r="D28" s="79"/>
      <c r="E28" s="79"/>
      <c r="F28" s="79"/>
    </row>
    <row r="29" spans="2:6" ht="42.75" customHeight="1">
      <c r="B29" s="79" t="e">
        <f>'7.SAU-THAO-GO'!B40</f>
        <v>#NAME?</v>
      </c>
      <c r="C29" s="79"/>
      <c r="D29" s="79"/>
      <c r="E29" s="79"/>
      <c r="F29" s="79"/>
    </row>
    <row r="30" spans="2:6" ht="42.75" customHeight="1">
      <c r="B30" s="79" t="e">
        <f>'7.SAU-THAO-GO'!B41</f>
        <v>#NAME?</v>
      </c>
      <c r="C30" s="79"/>
      <c r="D30" s="79"/>
      <c r="E30" s="79"/>
      <c r="F30" s="79"/>
    </row>
    <row r="31" spans="2:6" ht="42.75" customHeight="1">
      <c r="B31" s="79" t="e">
        <f>'7.SAU-THAO-GO'!B42</f>
        <v>#NAME?</v>
      </c>
      <c r="C31" s="79"/>
      <c r="D31" s="79"/>
      <c r="E31" s="79"/>
      <c r="F31" s="79"/>
    </row>
    <row r="32" spans="2:6" ht="42.75" customHeight="1">
      <c r="B32" s="79" t="e">
        <f>'7.SAU-THAO-GO'!B43</f>
        <v>#NAME?</v>
      </c>
      <c r="C32" s="79"/>
      <c r="D32" s="79"/>
      <c r="E32" s="79"/>
      <c r="F32" s="79"/>
    </row>
    <row r="33" spans="2:6" ht="42.75" customHeight="1">
      <c r="B33" s="79" t="e">
        <f>'7.SAU-THAO-GO'!#REF!</f>
        <v>#REF!</v>
      </c>
      <c r="C33" s="79"/>
      <c r="D33" s="79"/>
      <c r="E33" s="79"/>
      <c r="F33" s="79"/>
    </row>
    <row r="34" spans="2:6" ht="42.75" customHeight="1">
      <c r="B34" s="79" t="e">
        <f>'7.SAU-THAO-GO'!#REF!</f>
        <v>#REF!</v>
      </c>
      <c r="C34" s="79"/>
      <c r="D34" s="79"/>
      <c r="E34" s="79"/>
      <c r="F34" s="79"/>
    </row>
    <row r="35" spans="2:6" ht="42.75" customHeight="1">
      <c r="B35" s="79" t="e">
        <f>'7.SAU-THAO-GO'!#REF!</f>
        <v>#REF!</v>
      </c>
      <c r="C35" s="79"/>
      <c r="D35" s="79"/>
      <c r="E35" s="79"/>
      <c r="F35" s="79"/>
    </row>
    <row r="36" spans="2:6" ht="42.75" customHeight="1">
      <c r="B36" s="79" t="e">
        <f>'7.SAU-THAO-GO'!#REF!</f>
        <v>#REF!</v>
      </c>
      <c r="C36" s="79"/>
      <c r="D36" s="79"/>
      <c r="E36" s="79"/>
      <c r="F36" s="79"/>
    </row>
    <row r="37" spans="2:6" ht="42.75" customHeight="1">
      <c r="B37" s="79"/>
      <c r="C37" s="79"/>
      <c r="D37" s="79"/>
      <c r="E37" s="79"/>
      <c r="F37" s="79"/>
    </row>
    <row r="38" spans="2:6" ht="42.75" customHeight="1">
      <c r="B38" s="79"/>
      <c r="C38" s="79"/>
      <c r="D38" s="79"/>
      <c r="E38" s="79"/>
      <c r="F38" s="79"/>
    </row>
    <row r="39" spans="2:6" ht="42.75" customHeight="1">
      <c r="B39" s="79"/>
      <c r="C39" s="79"/>
      <c r="D39" s="79"/>
      <c r="E39" s="79"/>
      <c r="F39" s="79"/>
    </row>
    <row r="40" spans="2:6" ht="42.75" customHeight="1">
      <c r="B40" s="79"/>
      <c r="C40" s="79"/>
      <c r="D40" s="79"/>
      <c r="E40" s="79"/>
      <c r="F40" s="79"/>
    </row>
    <row r="41" spans="2:6" ht="42.75" customHeight="1">
      <c r="B41" s="79"/>
      <c r="C41" s="79"/>
      <c r="D41" s="79"/>
      <c r="E41" s="79"/>
      <c r="F41" s="79"/>
    </row>
    <row r="42" spans="2:6" ht="42.75" customHeight="1">
      <c r="B42" s="79"/>
      <c r="C42" s="79"/>
      <c r="D42" s="79"/>
      <c r="E42" s="79"/>
      <c r="F42" s="79"/>
    </row>
    <row r="43" spans="2:6" ht="42.75" customHeight="1">
      <c r="B43" s="79"/>
      <c r="C43" s="79"/>
      <c r="D43" s="79"/>
      <c r="E43" s="79"/>
      <c r="F43" s="79"/>
    </row>
    <row r="44" spans="2:6" ht="42.75" customHeight="1">
      <c r="B44" s="79"/>
      <c r="C44" s="79"/>
      <c r="D44" s="79"/>
      <c r="E44" s="79"/>
      <c r="F44" s="79"/>
    </row>
    <row r="45" spans="2:6" ht="42.75" customHeight="1">
      <c r="B45" s="79"/>
      <c r="C45" s="79"/>
      <c r="D45" s="79"/>
      <c r="E45" s="79"/>
      <c r="F45" s="79"/>
    </row>
    <row r="46" spans="2:6" ht="42.75" customHeight="1">
      <c r="B46" s="79"/>
      <c r="C46" s="79"/>
      <c r="D46" s="79"/>
      <c r="E46" s="79"/>
      <c r="F46" s="79"/>
    </row>
    <row r="47" spans="2:6" ht="42.75" customHeight="1">
      <c r="B47" s="79"/>
      <c r="C47" s="79"/>
      <c r="D47" s="79"/>
      <c r="E47" s="79"/>
      <c r="F47" s="79"/>
    </row>
    <row r="48" spans="2:6" ht="42.75" customHeight="1">
      <c r="B48" s="79"/>
      <c r="C48" s="79"/>
      <c r="D48" s="79"/>
      <c r="E48" s="79"/>
      <c r="F48" s="79"/>
    </row>
    <row r="49" spans="2:6" ht="42.75" customHeight="1">
      <c r="B49" s="79"/>
      <c r="C49" s="79"/>
      <c r="D49" s="79"/>
      <c r="E49" s="79"/>
      <c r="F49" s="79"/>
    </row>
    <row r="50" spans="2:6" ht="42.75" customHeight="1">
      <c r="B50" s="79"/>
      <c r="C50" s="79"/>
      <c r="D50" s="79"/>
      <c r="E50" s="79"/>
      <c r="F50" s="79"/>
    </row>
    <row r="51" spans="2:6" ht="42.75" customHeight="1">
      <c r="B51" s="79"/>
      <c r="C51" s="79"/>
      <c r="D51" s="79"/>
      <c r="E51" s="79"/>
      <c r="F51" s="79"/>
    </row>
    <row r="52" spans="2:6" ht="42.75" customHeight="1">
      <c r="B52" s="79"/>
      <c r="C52" s="79"/>
      <c r="D52" s="79"/>
      <c r="E52" s="79"/>
      <c r="F52" s="79"/>
    </row>
    <row r="53" spans="2:6" ht="42.75" customHeight="1">
      <c r="B53" s="79"/>
      <c r="C53" s="79"/>
      <c r="D53" s="79"/>
      <c r="E53" s="79"/>
      <c r="F53" s="79"/>
    </row>
    <row r="54" spans="2:6" ht="42.75" customHeight="1">
      <c r="B54" s="79"/>
      <c r="C54" s="79"/>
      <c r="D54" s="79"/>
      <c r="E54" s="79"/>
      <c r="F54" s="79"/>
    </row>
    <row r="55" spans="2:6" ht="42.75" customHeight="1">
      <c r="B55" s="79"/>
      <c r="C55" s="79"/>
      <c r="D55" s="79"/>
      <c r="E55" s="79"/>
      <c r="F55" s="79"/>
    </row>
    <row r="56" spans="2:6" ht="42.75" customHeight="1">
      <c r="B56" s="79"/>
      <c r="C56" s="79"/>
      <c r="D56" s="79"/>
      <c r="E56" s="79"/>
      <c r="F56" s="79"/>
    </row>
    <row r="57" spans="2:6" ht="42.75" customHeight="1">
      <c r="B57" s="79"/>
      <c r="C57" s="79"/>
      <c r="D57" s="79"/>
      <c r="E57" s="79"/>
      <c r="F57" s="79"/>
    </row>
    <row r="58" spans="2:6" ht="42.75" customHeight="1">
      <c r="B58" s="79"/>
      <c r="C58" s="79"/>
      <c r="D58" s="79"/>
      <c r="E58" s="79"/>
      <c r="F58" s="79"/>
    </row>
    <row r="59" spans="2:6" ht="42.75" customHeight="1">
      <c r="B59" s="79"/>
      <c r="C59" s="79"/>
      <c r="D59" s="79"/>
      <c r="E59" s="79"/>
      <c r="F59" s="79"/>
    </row>
    <row r="60" spans="2:6" ht="42.75" customHeight="1">
      <c r="B60" s="79"/>
      <c r="C60" s="79"/>
      <c r="D60" s="79"/>
      <c r="E60" s="79"/>
      <c r="F60" s="79"/>
    </row>
    <row r="61" spans="2:6" ht="42.75" customHeight="1">
      <c r="B61" s="79"/>
      <c r="C61" s="79"/>
      <c r="D61" s="79"/>
      <c r="E61" s="79"/>
      <c r="F61" s="79"/>
    </row>
    <row r="62" spans="2:6" ht="42.75" customHeight="1">
      <c r="B62" s="79"/>
      <c r="C62" s="79"/>
      <c r="D62" s="79"/>
      <c r="E62" s="79"/>
      <c r="F62" s="79"/>
    </row>
    <row r="63" spans="2:6" ht="42.75" customHeight="1">
      <c r="B63" s="79"/>
      <c r="C63" s="79"/>
      <c r="D63" s="79"/>
      <c r="E63" s="79"/>
      <c r="F63" s="79"/>
    </row>
    <row r="64" spans="2:6" ht="42.75" customHeight="1">
      <c r="B64" s="79"/>
      <c r="C64" s="79"/>
      <c r="D64" s="79"/>
      <c r="E64" s="79"/>
      <c r="F64" s="79"/>
    </row>
    <row r="65" spans="2:6" ht="42.75" customHeight="1">
      <c r="B65" s="79"/>
      <c r="C65" s="79"/>
      <c r="D65" s="79"/>
      <c r="E65" s="79"/>
      <c r="F65" s="79"/>
    </row>
    <row r="66" spans="2:6" ht="42.75" customHeight="1">
      <c r="B66" s="79"/>
      <c r="C66" s="79"/>
      <c r="D66" s="79"/>
      <c r="E66" s="79"/>
      <c r="F66" s="79"/>
    </row>
    <row r="67" spans="2:6" ht="42.75" customHeight="1">
      <c r="B67" s="79"/>
      <c r="C67" s="79"/>
      <c r="D67" s="79"/>
      <c r="E67" s="79"/>
      <c r="F67" s="79"/>
    </row>
    <row r="68" spans="2:6" ht="42.75" customHeight="1">
      <c r="B68" s="79"/>
      <c r="C68" s="79"/>
      <c r="D68" s="79"/>
      <c r="E68" s="79"/>
      <c r="F68" s="79"/>
    </row>
    <row r="69" spans="2:6" ht="42.75" customHeight="1">
      <c r="B69" s="79"/>
      <c r="C69" s="79"/>
      <c r="D69" s="79"/>
      <c r="E69" s="79"/>
      <c r="F69" s="79"/>
    </row>
    <row r="70" spans="2:6" ht="42.75" customHeight="1">
      <c r="B70" s="79"/>
      <c r="C70" s="79"/>
      <c r="D70" s="79"/>
      <c r="E70" s="79"/>
      <c r="F70" s="79"/>
    </row>
    <row r="71" spans="2:6" ht="42.75" customHeight="1">
      <c r="B71" s="79"/>
      <c r="C71" s="79"/>
      <c r="D71" s="79"/>
      <c r="E71" s="79"/>
      <c r="F71" s="79"/>
    </row>
    <row r="72" spans="2:6" ht="42.75" customHeight="1">
      <c r="B72" s="79"/>
      <c r="C72" s="79"/>
      <c r="D72" s="79"/>
      <c r="E72" s="79"/>
      <c r="F72" s="79"/>
    </row>
    <row r="73" spans="2:6" ht="42.75" customHeight="1">
      <c r="B73" s="79"/>
      <c r="C73" s="79"/>
      <c r="D73" s="79"/>
      <c r="E73" s="79"/>
      <c r="F73" s="79"/>
    </row>
    <row r="74" spans="2:6" ht="42.75" customHeight="1">
      <c r="B74" s="79"/>
      <c r="C74" s="79"/>
      <c r="D74" s="79"/>
      <c r="E74" s="79"/>
      <c r="F74" s="79"/>
    </row>
    <row r="75" spans="2:6" ht="42.75" customHeight="1">
      <c r="B75" s="79"/>
      <c r="C75" s="79"/>
      <c r="D75" s="79"/>
      <c r="E75" s="79"/>
      <c r="F75" s="79"/>
    </row>
    <row r="76" spans="2:6" ht="42.75" customHeight="1">
      <c r="B76" s="79"/>
      <c r="C76" s="79"/>
      <c r="D76" s="79"/>
      <c r="E76" s="79"/>
      <c r="F76" s="79"/>
    </row>
    <row r="77" spans="2:6" ht="42.75" customHeight="1">
      <c r="B77" s="79"/>
      <c r="C77" s="79"/>
      <c r="D77" s="79"/>
      <c r="E77" s="79"/>
      <c r="F77" s="79"/>
    </row>
    <row r="78" spans="2:6" ht="42.75" customHeight="1">
      <c r="B78" s="79"/>
      <c r="C78" s="79"/>
      <c r="D78" s="79"/>
      <c r="E78" s="79"/>
      <c r="F78" s="79"/>
    </row>
    <row r="79" spans="2:6" ht="42.75" customHeight="1">
      <c r="B79" s="79"/>
      <c r="C79" s="79"/>
      <c r="D79" s="79"/>
      <c r="E79" s="79"/>
      <c r="F79" s="79"/>
    </row>
    <row r="80" spans="2:6" ht="42.75" customHeight="1">
      <c r="B80" s="79"/>
      <c r="C80" s="79"/>
      <c r="D80" s="79"/>
      <c r="E80" s="79"/>
      <c r="F80" s="79"/>
    </row>
    <row r="81" spans="2:6" ht="42.75" customHeight="1">
      <c r="B81" s="79"/>
      <c r="C81" s="79"/>
      <c r="D81" s="79"/>
      <c r="E81" s="79"/>
      <c r="F81" s="79"/>
    </row>
    <row r="82" spans="2:6" ht="42.75" customHeight="1">
      <c r="B82" s="79"/>
      <c r="C82" s="79"/>
      <c r="D82" s="79"/>
      <c r="E82" s="79"/>
      <c r="F82" s="79"/>
    </row>
    <row r="83" spans="2:6" ht="42.75" customHeight="1">
      <c r="B83" s="79"/>
      <c r="C83" s="79"/>
      <c r="D83" s="79"/>
      <c r="E83" s="79"/>
      <c r="F83" s="79"/>
    </row>
    <row r="84" spans="2:6" ht="42.75" customHeight="1">
      <c r="B84" s="79"/>
      <c r="C84" s="79"/>
      <c r="D84" s="79"/>
      <c r="E84" s="79"/>
      <c r="F84" s="79"/>
    </row>
    <row r="85" spans="2:6" ht="42.75" customHeight="1">
      <c r="B85" s="79"/>
      <c r="C85" s="79"/>
      <c r="D85" s="79"/>
      <c r="E85" s="79"/>
      <c r="F85" s="79"/>
    </row>
    <row r="86" spans="2:6" ht="42.75" customHeight="1">
      <c r="B86" s="79"/>
      <c r="C86" s="79"/>
      <c r="D86" s="79"/>
      <c r="E86" s="79"/>
      <c r="F86" s="79"/>
    </row>
    <row r="87" spans="2:6" ht="42.75" customHeight="1">
      <c r="B87" s="79"/>
      <c r="C87" s="79"/>
      <c r="D87" s="79"/>
      <c r="E87" s="79"/>
      <c r="F87" s="79"/>
    </row>
    <row r="88" spans="2:6" ht="42.75" customHeight="1">
      <c r="B88" s="79"/>
      <c r="C88" s="79"/>
      <c r="D88" s="79"/>
      <c r="E88" s="79"/>
      <c r="F88" s="79"/>
    </row>
    <row r="89" spans="2:6" ht="42.75" customHeight="1">
      <c r="B89" s="79"/>
      <c r="C89" s="79"/>
      <c r="D89" s="79"/>
      <c r="E89" s="79"/>
      <c r="F89" s="79"/>
    </row>
    <row r="90" spans="2:6" ht="42.75" customHeight="1">
      <c r="B90" s="79"/>
      <c r="C90" s="79"/>
      <c r="D90" s="79"/>
      <c r="E90" s="79"/>
      <c r="F90" s="79"/>
    </row>
    <row r="91" spans="2:6" ht="42.75" customHeight="1">
      <c r="B91" s="79"/>
      <c r="C91" s="79"/>
      <c r="D91" s="79"/>
      <c r="E91" s="79"/>
      <c r="F91" s="79"/>
    </row>
    <row r="92" spans="2:6" ht="42.75" customHeight="1">
      <c r="B92" s="79"/>
      <c r="C92" s="79"/>
      <c r="D92" s="79"/>
      <c r="E92" s="79"/>
      <c r="F92" s="79"/>
    </row>
    <row r="93" spans="2:6" ht="42.75" customHeight="1">
      <c r="B93" s="79"/>
      <c r="C93" s="79"/>
      <c r="D93" s="79"/>
      <c r="E93" s="79"/>
      <c r="F93" s="79"/>
    </row>
    <row r="94" spans="2:6" ht="42.75" customHeight="1">
      <c r="B94" s="79"/>
      <c r="C94" s="79"/>
      <c r="D94" s="79"/>
      <c r="E94" s="79"/>
      <c r="F94" s="79"/>
    </row>
    <row r="95" spans="2:6" ht="42.75" customHeight="1">
      <c r="B95" s="79"/>
      <c r="C95" s="79"/>
      <c r="D95" s="79"/>
      <c r="E95" s="79"/>
      <c r="F95" s="79"/>
    </row>
    <row r="96" spans="2:6" ht="42.75" customHeight="1">
      <c r="B96" s="79"/>
      <c r="C96" s="79"/>
      <c r="D96" s="79"/>
      <c r="E96" s="79"/>
      <c r="F96" s="79"/>
    </row>
    <row r="97" spans="2:6" ht="42.75" customHeight="1">
      <c r="B97" s="79"/>
      <c r="C97" s="79"/>
      <c r="D97" s="79"/>
      <c r="E97" s="79"/>
      <c r="F97" s="79"/>
    </row>
    <row r="98" spans="2:6" ht="42.75" customHeight="1">
      <c r="B98" s="79"/>
      <c r="C98" s="79"/>
      <c r="D98" s="79"/>
      <c r="E98" s="79"/>
      <c r="F98" s="79"/>
    </row>
    <row r="99" spans="2:6" ht="42.75" customHeight="1">
      <c r="B99" s="79"/>
      <c r="C99" s="79"/>
      <c r="D99" s="79"/>
      <c r="E99" s="79"/>
      <c r="F99" s="79"/>
    </row>
    <row r="100" spans="2:6" ht="42.75" customHeight="1">
      <c r="B100" s="79"/>
      <c r="C100" s="79"/>
      <c r="D100" s="79"/>
      <c r="E100" s="79"/>
      <c r="F100" s="79"/>
    </row>
    <row r="101" spans="2:6" ht="42.75" customHeight="1">
      <c r="B101" s="79"/>
      <c r="C101" s="79"/>
      <c r="D101" s="79"/>
      <c r="E101" s="79"/>
      <c r="F101" s="79"/>
    </row>
    <row r="102" spans="2:6" ht="42.75" customHeight="1">
      <c r="B102" s="79"/>
      <c r="C102" s="79"/>
      <c r="D102" s="79"/>
      <c r="E102" s="79"/>
      <c r="F102" s="79"/>
    </row>
    <row r="103" spans="2:6" ht="42.75" customHeight="1">
      <c r="B103" s="79"/>
      <c r="C103" s="79"/>
      <c r="D103" s="79"/>
      <c r="E103" s="79"/>
      <c r="F103" s="79"/>
    </row>
    <row r="104" spans="2:6" ht="42.75" customHeight="1">
      <c r="B104" s="79"/>
      <c r="C104" s="79"/>
      <c r="D104" s="79"/>
      <c r="E104" s="79"/>
      <c r="F104" s="79"/>
    </row>
    <row r="105" spans="2:6" ht="42.75" customHeight="1">
      <c r="B105" s="79"/>
      <c r="C105" s="79"/>
      <c r="D105" s="79"/>
      <c r="E105" s="79"/>
      <c r="F105" s="79"/>
    </row>
    <row r="106" spans="2:6" ht="42.75" customHeight="1">
      <c r="B106" s="79"/>
      <c r="C106" s="79"/>
      <c r="D106" s="79"/>
      <c r="E106" s="79"/>
      <c r="F106" s="79"/>
    </row>
    <row r="107" spans="2:6" ht="42.75" customHeight="1">
      <c r="B107" s="79"/>
      <c r="C107" s="79"/>
      <c r="D107" s="79"/>
      <c r="E107" s="79"/>
      <c r="F107" s="79"/>
    </row>
    <row r="108" spans="2:6" ht="42.75" customHeight="1">
      <c r="B108" s="79"/>
      <c r="C108" s="79"/>
      <c r="D108" s="79"/>
      <c r="E108" s="79"/>
      <c r="F108" s="79"/>
    </row>
    <row r="109" spans="2:6" ht="42.75" customHeight="1">
      <c r="B109" s="79"/>
      <c r="C109" s="79"/>
      <c r="D109" s="79"/>
      <c r="E109" s="79"/>
      <c r="F109" s="79"/>
    </row>
    <row r="110" spans="2:6" ht="42.75" customHeight="1">
      <c r="B110" s="79"/>
      <c r="C110" s="79"/>
      <c r="D110" s="79"/>
      <c r="E110" s="79"/>
      <c r="F110" s="79"/>
    </row>
    <row r="111" spans="2:6" ht="42.75" customHeight="1">
      <c r="B111" s="79"/>
      <c r="C111" s="79"/>
      <c r="D111" s="79"/>
      <c r="E111" s="79"/>
      <c r="F111" s="79"/>
    </row>
    <row r="112" spans="2:6" ht="42.75" customHeight="1">
      <c r="B112" s="82"/>
      <c r="C112" s="82"/>
      <c r="D112" s="82"/>
      <c r="E112" s="82"/>
      <c r="F112" s="82"/>
    </row>
    <row r="113" spans="2:6" ht="6" customHeight="1">
      <c r="B113" s="83"/>
      <c r="C113" s="84"/>
      <c r="D113" s="83"/>
      <c r="E113" s="85"/>
      <c r="F113" s="85"/>
    </row>
    <row r="122" spans="2:6" ht="20.100000000000001" customHeight="1">
      <c r="B122" s="86" t="s">
        <v>70</v>
      </c>
    </row>
    <row r="123" spans="2:6" ht="16.5" customHeight="1">
      <c r="B123" s="87" t="s">
        <v>71</v>
      </c>
    </row>
    <row r="124" spans="2:6" ht="16.5" customHeight="1">
      <c r="B124" s="87" t="s">
        <v>72</v>
      </c>
    </row>
  </sheetData>
  <autoFilter ref="B12:F113"/>
  <pageMargins left="0.74" right="0.3125" top="0.65"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25</vt:i4>
      </vt:variant>
    </vt:vector>
  </HeadingPairs>
  <TitlesOfParts>
    <vt:vector size="37" baseType="lpstr">
      <vt:lpstr>chitiet</vt:lpstr>
      <vt:lpstr>DG</vt:lpstr>
      <vt:lpstr>INFO</vt:lpstr>
      <vt:lpstr>BKT-ThuHoi</vt:lpstr>
      <vt:lpstr>5.TTG</vt:lpstr>
      <vt:lpstr>6.TiTrg</vt:lpstr>
      <vt:lpstr>7.SAU-THAO-GO</vt:lpstr>
      <vt:lpstr>8.NHAP</vt:lpstr>
      <vt:lpstr>9.NHAP-THUA</vt:lpstr>
      <vt:lpstr>10.QTOAN</vt:lpstr>
      <vt:lpstr>11.QT-VTTH</vt:lpstr>
      <vt:lpstr>QTGT-TCKT</vt:lpstr>
      <vt:lpstr>dgth</vt:lpstr>
      <vt:lpstr>DSPK1pm</vt:lpstr>
      <vt:lpstr>DSPK3p1m</vt:lpstr>
      <vt:lpstr>DSPK3pct</vt:lpstr>
      <vt:lpstr>DSPK3pm</vt:lpstr>
      <vt:lpstr>DSPKhtdl</vt:lpstr>
      <vt:lpstr>DSPKhthh</vt:lpstr>
      <vt:lpstr>hsdc</vt:lpstr>
      <vt:lpstr>hskd</vt:lpstr>
      <vt:lpstr>hslx</vt:lpstr>
      <vt:lpstr>hslxh</vt:lpstr>
      <vt:lpstr>'10.QTOAN'!Print_Area</vt:lpstr>
      <vt:lpstr>'11.QT-VTTH'!Print_Area</vt:lpstr>
      <vt:lpstr>'5.TTG'!Print_Area</vt:lpstr>
      <vt:lpstr>'6.TiTrg'!Print_Area</vt:lpstr>
      <vt:lpstr>'7.SAU-THAO-GO'!Print_Area</vt:lpstr>
      <vt:lpstr>'8.NHAP'!Print_Area</vt:lpstr>
      <vt:lpstr>'9.NHAP-THUA'!Print_Area</vt:lpstr>
      <vt:lpstr>chitiet!Print_Area</vt:lpstr>
      <vt:lpstr>DG!Print_Area</vt:lpstr>
      <vt:lpstr>'QTGT-TCKT'!Print_Area</vt:lpstr>
      <vt:lpstr>'10.QTOAN'!Print_Titles</vt:lpstr>
      <vt:lpstr>'7.SAU-THAO-GO'!Print_Titles</vt:lpstr>
      <vt:lpstr>chitiet!Print_Titles</vt:lpstr>
      <vt:lpstr>'QTGT-TCKT'!Print_Titles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THUCSPC</dc:creator>
  <cp:lastModifiedBy>THUCSPC</cp:lastModifiedBy>
  <dcterms:created xsi:type="dcterms:W3CDTF">2019-11-11T08:50:25Z</dcterms:created>
  <dcterms:modified xsi:type="dcterms:W3CDTF">2019-11-12T08:54:27Z</dcterms:modified>
</cp:coreProperties>
</file>